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64011"/>
  <mc:AlternateContent xmlns:mc="http://schemas.openxmlformats.org/markup-compatibility/2006">
    <mc:Choice Requires="x15">
      <x15ac:absPath xmlns:x15ac="http://schemas.microsoft.com/office/spreadsheetml/2010/11/ac" url="C:\Users\yoshimoto-st8hw\Desktop\"/>
    </mc:Choice>
  </mc:AlternateContent>
  <workbookProtection workbookPassword="CA83" lockStructure="1"/>
  <bookViews>
    <workbookView xWindow="0" yWindow="0" windowWidth="28800" windowHeight="12210"/>
  </bookViews>
  <sheets>
    <sheet name="取扱説明" sheetId="6" r:id="rId1"/>
    <sheet name="①荷役判定表（トン入力）" sheetId="9" r:id="rId2"/>
    <sheet name="②荷役判定表（KG入力）" sheetId="4" r:id="rId3"/>
    <sheet name="岸壁荷役許容量（表）" sheetId="5" r:id="rId4"/>
  </sheets>
  <definedNames>
    <definedName name="A岸壁" localSheetId="1">'①荷役判定表（トン入力）'!$B$31:$AN$31</definedName>
    <definedName name="A岸壁">'②荷役判定表（KG入力）'!$B$31:$AN$31</definedName>
    <definedName name="B岸壁" localSheetId="1">'①荷役判定表（トン入力）'!$B$32:$AN$32</definedName>
    <definedName name="B岸壁">'②荷役判定表（KG入力）'!$B$32:$AN$32</definedName>
    <definedName name="_xlnm.Print_Area" localSheetId="1">'①荷役判定表（トン入力）'!$A$1:$K$29</definedName>
    <definedName name="_xlnm.Print_Area" localSheetId="2">'②荷役判定表（KG入力）'!$A$1:$K$29</definedName>
    <definedName name="_xlnm.Print_Area" localSheetId="0">取扱説明!$A$1:$L$45</definedName>
    <definedName name="コンテナ専用岸壁" localSheetId="1">'①荷役判定表（トン入力）'!$B$34:$AN$34</definedName>
    <definedName name="コンテナ専用岸壁">'②荷役判定表（KG入力）'!$B$34:$AN$34</definedName>
    <definedName name="一般岸壁C" localSheetId="1">'①荷役判定表（トン入力）'!$B$33:$AN$33</definedName>
    <definedName name="一般岸壁C">'②荷役判定表（KG入力）'!$B$33:$AN$33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Q25" i="4" l="1"/>
  <c r="P25" i="4"/>
  <c r="Q24" i="4"/>
  <c r="P24" i="4"/>
  <c r="N27" i="9"/>
  <c r="N26" i="9"/>
  <c r="O27" i="9"/>
  <c r="O26" i="9"/>
  <c r="M9" i="9"/>
  <c r="M10" i="9"/>
  <c r="M11" i="9"/>
  <c r="M12" i="9"/>
  <c r="M13" i="9"/>
  <c r="M14" i="9"/>
  <c r="M15" i="9"/>
  <c r="M16" i="9"/>
  <c r="M17" i="9"/>
  <c r="M18" i="9"/>
  <c r="M19" i="9"/>
  <c r="M20" i="9"/>
  <c r="M21" i="9"/>
  <c r="M22" i="9"/>
  <c r="N9" i="9"/>
  <c r="N10" i="9"/>
  <c r="N11" i="9"/>
  <c r="N12" i="9"/>
  <c r="N13" i="9"/>
  <c r="N14" i="9"/>
  <c r="N15" i="9"/>
  <c r="N16" i="9"/>
  <c r="N17" i="9"/>
  <c r="N18" i="9"/>
  <c r="N19" i="9"/>
  <c r="N20" i="9"/>
  <c r="N21" i="9"/>
  <c r="N22" i="9"/>
  <c r="O9" i="9"/>
  <c r="O10" i="9"/>
  <c r="O11" i="9"/>
  <c r="O12" i="9"/>
  <c r="O13" i="9"/>
  <c r="O14" i="9"/>
  <c r="O15" i="9"/>
  <c r="O16" i="9"/>
  <c r="O17" i="9"/>
  <c r="O18" i="9"/>
  <c r="O19" i="9"/>
  <c r="O20" i="9"/>
  <c r="O21" i="9"/>
  <c r="O22" i="9"/>
  <c r="O8" i="9"/>
  <c r="N8" i="9"/>
  <c r="M27" i="9"/>
  <c r="F27" i="9"/>
  <c r="M26" i="9"/>
  <c r="F26" i="9"/>
  <c r="O25" i="9"/>
  <c r="N25" i="9"/>
  <c r="M25" i="9"/>
  <c r="F25" i="9"/>
  <c r="K25" i="9" s="1"/>
  <c r="O24" i="9"/>
  <c r="N24" i="9"/>
  <c r="M24" i="9"/>
  <c r="F24" i="9"/>
  <c r="K24" i="9" s="1"/>
  <c r="O23" i="9"/>
  <c r="N23" i="9"/>
  <c r="M23" i="9"/>
  <c r="F23" i="9"/>
  <c r="K23" i="9" s="1"/>
  <c r="F22" i="9"/>
  <c r="F21" i="9"/>
  <c r="F20" i="9"/>
  <c r="F19" i="9"/>
  <c r="F18" i="9"/>
  <c r="F17" i="9"/>
  <c r="F16" i="9"/>
  <c r="F15" i="9"/>
  <c r="F14" i="9"/>
  <c r="F13" i="9"/>
  <c r="F12" i="9"/>
  <c r="F11" i="9"/>
  <c r="F10" i="9"/>
  <c r="F9" i="9"/>
  <c r="F8" i="9"/>
  <c r="I5" i="9"/>
  <c r="R25" i="9" l="1"/>
  <c r="M8" i="9"/>
  <c r="P8" i="9" s="1"/>
  <c r="K8" i="9" s="1"/>
  <c r="P26" i="9"/>
  <c r="R26" i="9" s="1"/>
  <c r="J26" i="9" s="1"/>
  <c r="P21" i="9"/>
  <c r="R21" i="9" s="1"/>
  <c r="J21" i="9" s="1"/>
  <c r="P13" i="9"/>
  <c r="R13" i="9"/>
  <c r="J13" i="9" s="1"/>
  <c r="Q22" i="9"/>
  <c r="Q14" i="9"/>
  <c r="P25" i="9"/>
  <c r="Q24" i="9"/>
  <c r="Q23" i="9"/>
  <c r="Q25" i="9"/>
  <c r="Q28" i="9"/>
  <c r="P24" i="9"/>
  <c r="R24" i="9" s="1"/>
  <c r="P23" i="9"/>
  <c r="R23" i="9" s="1"/>
  <c r="Q19" i="9"/>
  <c r="P11" i="9"/>
  <c r="R11" i="9" s="1"/>
  <c r="P22" i="9"/>
  <c r="R22" i="9" s="1"/>
  <c r="J22" i="9" s="1"/>
  <c r="Q18" i="9"/>
  <c r="Q10" i="9"/>
  <c r="P27" i="9"/>
  <c r="R27" i="9" s="1"/>
  <c r="J27" i="9" s="1"/>
  <c r="Q21" i="9"/>
  <c r="Q17" i="9"/>
  <c r="Q13" i="9"/>
  <c r="Q9" i="9"/>
  <c r="Q15" i="9"/>
  <c r="P14" i="9"/>
  <c r="R14" i="9" s="1"/>
  <c r="J14" i="9" s="1"/>
  <c r="Q20" i="9"/>
  <c r="Q16" i="9"/>
  <c r="Q12" i="9"/>
  <c r="P16" i="9"/>
  <c r="R16" i="9" s="1"/>
  <c r="P19" i="9"/>
  <c r="R19" i="9" s="1"/>
  <c r="P10" i="9"/>
  <c r="K10" i="9" s="1"/>
  <c r="Q11" i="9"/>
  <c r="P18" i="9"/>
  <c r="R18" i="9" s="1"/>
  <c r="J18" i="9" s="1"/>
  <c r="P9" i="9"/>
  <c r="K9" i="9" s="1"/>
  <c r="P12" i="9"/>
  <c r="R12" i="9" s="1"/>
  <c r="P15" i="9"/>
  <c r="R15" i="9" s="1"/>
  <c r="P17" i="9"/>
  <c r="K17" i="9" s="1"/>
  <c r="P20" i="9"/>
  <c r="R20" i="9" s="1"/>
  <c r="K13" i="9"/>
  <c r="Q8" i="9" l="1"/>
  <c r="K26" i="9"/>
  <c r="J25" i="9"/>
  <c r="J24" i="9"/>
  <c r="J23" i="9"/>
  <c r="K21" i="9"/>
  <c r="K14" i="9"/>
  <c r="K19" i="9"/>
  <c r="K22" i="9"/>
  <c r="K15" i="9"/>
  <c r="K27" i="9"/>
  <c r="K20" i="9"/>
  <c r="K11" i="9"/>
  <c r="P29" i="9"/>
  <c r="R8" i="9"/>
  <c r="J8" i="9" s="1"/>
  <c r="R9" i="9"/>
  <c r="J9" i="9" s="1"/>
  <c r="K16" i="9"/>
  <c r="R17" i="9"/>
  <c r="J17" i="9" s="1"/>
  <c r="R10" i="9"/>
  <c r="J10" i="9" s="1"/>
  <c r="P28" i="9"/>
  <c r="K12" i="9"/>
  <c r="K18" i="9"/>
  <c r="Q29" i="9"/>
  <c r="J20" i="9"/>
  <c r="J16" i="9"/>
  <c r="J19" i="9"/>
  <c r="J12" i="9"/>
  <c r="J15" i="9"/>
  <c r="J11" i="9"/>
  <c r="I4" i="9" l="1"/>
  <c r="J4" i="9"/>
  <c r="I5" i="4"/>
  <c r="O27" i="4" l="1"/>
  <c r="O26" i="4"/>
  <c r="O9" i="4"/>
  <c r="O10" i="4"/>
  <c r="O11" i="4"/>
  <c r="O12" i="4"/>
  <c r="O13" i="4"/>
  <c r="O14" i="4"/>
  <c r="O15" i="4"/>
  <c r="O16" i="4"/>
  <c r="O17" i="4"/>
  <c r="O18" i="4"/>
  <c r="O19" i="4"/>
  <c r="O20" i="4"/>
  <c r="O21" i="4"/>
  <c r="O22" i="4"/>
  <c r="O8" i="4"/>
  <c r="N27" i="4"/>
  <c r="N26" i="4"/>
  <c r="N9" i="4"/>
  <c r="N10" i="4"/>
  <c r="N11" i="4"/>
  <c r="N12" i="4"/>
  <c r="N13" i="4"/>
  <c r="N14" i="4"/>
  <c r="N15" i="4"/>
  <c r="N16" i="4"/>
  <c r="N17" i="4"/>
  <c r="N18" i="4"/>
  <c r="N19" i="4"/>
  <c r="N20" i="4"/>
  <c r="N21" i="4"/>
  <c r="N22" i="4"/>
  <c r="N8" i="4"/>
  <c r="M23" i="4" l="1"/>
  <c r="O24" i="4"/>
  <c r="O25" i="4"/>
  <c r="N24" i="4"/>
  <c r="N25" i="4"/>
  <c r="M24" i="4"/>
  <c r="M25" i="4"/>
  <c r="N23" i="4"/>
  <c r="O23" i="4"/>
  <c r="Q28" i="4" l="1"/>
  <c r="P23" i="4"/>
  <c r="Q23" i="4"/>
  <c r="M11" i="4"/>
  <c r="M12" i="4"/>
  <c r="M13" i="4"/>
  <c r="M14" i="4"/>
  <c r="M15" i="4"/>
  <c r="M16" i="4"/>
  <c r="M17" i="4"/>
  <c r="M18" i="4"/>
  <c r="M19" i="4"/>
  <c r="M20" i="4"/>
  <c r="M21" i="4"/>
  <c r="M22" i="4"/>
  <c r="M26" i="4"/>
  <c r="P26" i="4" s="1"/>
  <c r="M27" i="4"/>
  <c r="P27" i="4" s="1"/>
  <c r="Q12" i="4" l="1"/>
  <c r="P12" i="4"/>
  <c r="Q22" i="4"/>
  <c r="P22" i="4"/>
  <c r="Q18" i="4"/>
  <c r="P18" i="4"/>
  <c r="Q14" i="4"/>
  <c r="P14" i="4"/>
  <c r="P21" i="4"/>
  <c r="Q21" i="4"/>
  <c r="Q17" i="4"/>
  <c r="P17" i="4"/>
  <c r="P13" i="4"/>
  <c r="Q13" i="4"/>
  <c r="Q20" i="4"/>
  <c r="P20" i="4"/>
  <c r="P16" i="4"/>
  <c r="Q16" i="4"/>
  <c r="P19" i="4"/>
  <c r="Q19" i="4"/>
  <c r="Q15" i="4"/>
  <c r="P15" i="4"/>
  <c r="P11" i="4"/>
  <c r="Q11" i="4"/>
  <c r="F23" i="4"/>
  <c r="F27" i="4"/>
  <c r="R27" i="4" s="1"/>
  <c r="F26" i="4"/>
  <c r="R26" i="4" s="1"/>
  <c r="F25" i="4"/>
  <c r="F24" i="4"/>
  <c r="F22" i="4"/>
  <c r="F21" i="4"/>
  <c r="R21" i="4" s="1"/>
  <c r="F20" i="4"/>
  <c r="F19" i="4"/>
  <c r="F18" i="4"/>
  <c r="R18" i="4" s="1"/>
  <c r="F17" i="4"/>
  <c r="F16" i="4"/>
  <c r="F15" i="4"/>
  <c r="F14" i="4"/>
  <c r="F13" i="4"/>
  <c r="R13" i="4" s="1"/>
  <c r="F12" i="4"/>
  <c r="F11" i="4"/>
  <c r="F10" i="4"/>
  <c r="F9" i="4"/>
  <c r="F8" i="4"/>
  <c r="K25" i="4" l="1"/>
  <c r="R25" i="4"/>
  <c r="K24" i="4"/>
  <c r="R24" i="4"/>
  <c r="K23" i="4"/>
  <c r="R23" i="4"/>
  <c r="R17" i="4"/>
  <c r="R11" i="4"/>
  <c r="R19" i="4"/>
  <c r="R15" i="4"/>
  <c r="R12" i="4"/>
  <c r="R16" i="4"/>
  <c r="M10" i="4"/>
  <c r="R14" i="4"/>
  <c r="R22" i="4"/>
  <c r="R20" i="4"/>
  <c r="M8" i="4"/>
  <c r="M9" i="4"/>
  <c r="Q9" i="4" l="1"/>
  <c r="P9" i="4"/>
  <c r="P8" i="4"/>
  <c r="K8" i="4" s="1"/>
  <c r="Q8" i="4"/>
  <c r="P10" i="4"/>
  <c r="R10" i="4" s="1"/>
  <c r="Q10" i="4"/>
  <c r="J24" i="4"/>
  <c r="J25" i="4"/>
  <c r="R9" i="4" l="1"/>
  <c r="K9" i="4"/>
  <c r="P28" i="4"/>
  <c r="R8" i="4"/>
  <c r="J23" i="4"/>
  <c r="K26" i="4" l="1"/>
  <c r="K10" i="4"/>
  <c r="J8" i="4"/>
  <c r="J18" i="4" l="1"/>
  <c r="K18" i="4"/>
  <c r="J19" i="4"/>
  <c r="K19" i="4"/>
  <c r="J15" i="4"/>
  <c r="K15" i="4"/>
  <c r="J20" i="4"/>
  <c r="K20" i="4"/>
  <c r="K22" i="4"/>
  <c r="J17" i="4"/>
  <c r="K17" i="4"/>
  <c r="J13" i="4"/>
  <c r="K13" i="4"/>
  <c r="J11" i="4"/>
  <c r="K11" i="4"/>
  <c r="J21" i="4"/>
  <c r="K21" i="4"/>
  <c r="J14" i="4"/>
  <c r="K14" i="4"/>
  <c r="J12" i="4"/>
  <c r="K12" i="4"/>
  <c r="J16" i="4"/>
  <c r="K16" i="4"/>
  <c r="J10" i="4"/>
  <c r="J27" i="4"/>
  <c r="K27" i="4"/>
  <c r="P29" i="4"/>
  <c r="J26" i="4"/>
  <c r="Q29" i="4"/>
  <c r="J22" i="4"/>
  <c r="J4" i="4" l="1"/>
  <c r="I4" i="4"/>
  <c r="J9" i="4"/>
</calcChain>
</file>

<file path=xl/sharedStrings.xml><?xml version="1.0" encoding="utf-8"?>
<sst xmlns="http://schemas.openxmlformats.org/spreadsheetml/2006/main" count="287" uniqueCount="190">
  <si>
    <t>危険物接岸荷役許容量判定表</t>
    <rPh sb="0" eb="3">
      <t>キケンブツ</t>
    </rPh>
    <rPh sb="3" eb="7">
      <t>セツガンニヤク</t>
    </rPh>
    <rPh sb="7" eb="10">
      <t>キョヨウリョウ</t>
    </rPh>
    <rPh sb="10" eb="13">
      <t>ハンテイヒョウ</t>
    </rPh>
    <phoneticPr fontId="2"/>
  </si>
  <si>
    <t>危険物種別</t>
    <rPh sb="0" eb="3">
      <t>キケンブツ</t>
    </rPh>
    <rPh sb="3" eb="5">
      <t>シュベツ</t>
    </rPh>
    <phoneticPr fontId="2"/>
  </si>
  <si>
    <t>1.1,1.2,1.5</t>
    <phoneticPr fontId="2"/>
  </si>
  <si>
    <t>毒物</t>
    <rPh sb="0" eb="2">
      <t>ドクブツ</t>
    </rPh>
    <phoneticPr fontId="2"/>
  </si>
  <si>
    <t>火薬類</t>
    <rPh sb="0" eb="3">
      <t>カヤクルイ</t>
    </rPh>
    <phoneticPr fontId="2"/>
  </si>
  <si>
    <t>岸壁種別</t>
    <rPh sb="0" eb="4">
      <t>ガンペキシュベツ</t>
    </rPh>
    <phoneticPr fontId="2"/>
  </si>
  <si>
    <t>1.3,1.4,1.6</t>
  </si>
  <si>
    <t>―</t>
    <phoneticPr fontId="2"/>
  </si>
  <si>
    <t>有機過酸化物</t>
    <rPh sb="0" eb="6">
      <t>ユウキカサンカブツ</t>
    </rPh>
    <phoneticPr fontId="2"/>
  </si>
  <si>
    <t>引火性高圧ガス</t>
    <rPh sb="0" eb="5">
      <t>インカセイコウアツ</t>
    </rPh>
    <phoneticPr fontId="2"/>
  </si>
  <si>
    <t>毒性高圧ガス</t>
    <rPh sb="0" eb="4">
      <t>ドクセイコウアツ</t>
    </rPh>
    <phoneticPr fontId="2"/>
  </si>
  <si>
    <t>可燃性物質</t>
    <rPh sb="0" eb="5">
      <t>カネンセイブッシツ</t>
    </rPh>
    <phoneticPr fontId="2"/>
  </si>
  <si>
    <t>酸化性物質</t>
    <rPh sb="0" eb="5">
      <t>サンカセイブッシツ</t>
    </rPh>
    <phoneticPr fontId="2"/>
  </si>
  <si>
    <t>腐食性物質</t>
    <rPh sb="0" eb="5">
      <t>フショクセイブッシツ</t>
    </rPh>
    <phoneticPr fontId="2"/>
  </si>
  <si>
    <t>有害性物質</t>
    <rPh sb="0" eb="5">
      <t>ユウガイセイブッシツ</t>
    </rPh>
    <phoneticPr fontId="2"/>
  </si>
  <si>
    <t>自然発火性物質</t>
    <rPh sb="0" eb="7">
      <t>シゼンハッカセイブッシツ</t>
    </rPh>
    <phoneticPr fontId="2"/>
  </si>
  <si>
    <t>引火性液体Ⅰ</t>
    <rPh sb="0" eb="5">
      <t>インカセイエキタイ</t>
    </rPh>
    <phoneticPr fontId="2"/>
  </si>
  <si>
    <t>引火性液体Ⅱ</t>
    <rPh sb="0" eb="2">
      <t>インカ</t>
    </rPh>
    <rPh sb="2" eb="3">
      <t>セイ</t>
    </rPh>
    <rPh sb="3" eb="5">
      <t>エキタイ</t>
    </rPh>
    <phoneticPr fontId="2"/>
  </si>
  <si>
    <t>引火性液体Ⅲ</t>
    <rPh sb="0" eb="2">
      <t>インカ</t>
    </rPh>
    <rPh sb="2" eb="3">
      <t>セイ</t>
    </rPh>
    <rPh sb="3" eb="5">
      <t>エキタイ</t>
    </rPh>
    <phoneticPr fontId="2"/>
  </si>
  <si>
    <t>水反応可燃性物質</t>
    <rPh sb="0" eb="8">
      <t>ミズハンノウカネンセイブッシツ</t>
    </rPh>
    <phoneticPr fontId="2"/>
  </si>
  <si>
    <t>A</t>
    <phoneticPr fontId="2"/>
  </si>
  <si>
    <t>B</t>
    <phoneticPr fontId="2"/>
  </si>
  <si>
    <t>C1</t>
    <phoneticPr fontId="2"/>
  </si>
  <si>
    <t>C2</t>
    <phoneticPr fontId="2"/>
  </si>
  <si>
    <t>荷役許容量（t）</t>
    <rPh sb="0" eb="5">
      <t>ニヤクキョヨウリョウ</t>
    </rPh>
    <phoneticPr fontId="2"/>
  </si>
  <si>
    <t>荷役数量（kg）</t>
    <rPh sb="0" eb="2">
      <t>ニヤク</t>
    </rPh>
    <rPh sb="2" eb="4">
      <t>スウリョウ</t>
    </rPh>
    <phoneticPr fontId="2"/>
  </si>
  <si>
    <t>等　　　　級</t>
    <rPh sb="0" eb="1">
      <t>ナド</t>
    </rPh>
    <rPh sb="5" eb="6">
      <t>キュウ</t>
    </rPh>
    <phoneticPr fontId="2"/>
  </si>
  <si>
    <t>危険物接岸荷役許容量</t>
    <rPh sb="0" eb="3">
      <t>キケンブツ</t>
    </rPh>
    <rPh sb="3" eb="5">
      <t>セツガン</t>
    </rPh>
    <rPh sb="5" eb="7">
      <t>ニヤク</t>
    </rPh>
    <rPh sb="7" eb="10">
      <t>キョヨウリョウ</t>
    </rPh>
    <phoneticPr fontId="2"/>
  </si>
  <si>
    <t>種類</t>
    <rPh sb="0" eb="2">
      <t>シュルイ</t>
    </rPh>
    <phoneticPr fontId="2"/>
  </si>
  <si>
    <t>種別</t>
    <rPh sb="0" eb="2">
      <t>シュベツ</t>
    </rPh>
    <phoneticPr fontId="2"/>
  </si>
  <si>
    <t>荷役許容量</t>
    <rPh sb="0" eb="2">
      <t>ニヤク</t>
    </rPh>
    <rPh sb="2" eb="5">
      <t>キョヨウリョウ</t>
    </rPh>
    <phoneticPr fontId="2"/>
  </si>
  <si>
    <t>備考</t>
    <rPh sb="0" eb="2">
      <t>ビコウ</t>
    </rPh>
    <phoneticPr fontId="2"/>
  </si>
  <si>
    <t>A</t>
    <phoneticPr fontId="2"/>
  </si>
  <si>
    <t>B</t>
    <phoneticPr fontId="2"/>
  </si>
  <si>
    <t>C1</t>
    <phoneticPr fontId="2"/>
  </si>
  <si>
    <t>C2</t>
    <phoneticPr fontId="2"/>
  </si>
  <si>
    <t>爆発物</t>
    <rPh sb="0" eb="3">
      <t>バクハツブツ</t>
    </rPh>
    <phoneticPr fontId="2"/>
  </si>
  <si>
    <t>火薬類</t>
    <rPh sb="0" eb="2">
      <t>カヤク</t>
    </rPh>
    <rPh sb="2" eb="3">
      <t>ルイ</t>
    </rPh>
    <phoneticPr fontId="2"/>
  </si>
  <si>
    <t>等級1.1,1.2,1.5</t>
    <rPh sb="0" eb="2">
      <t>トウキュウ</t>
    </rPh>
    <phoneticPr fontId="2"/>
  </si>
  <si>
    <t>特別の保安体制をとること</t>
    <rPh sb="0" eb="2">
      <t>トクベツ</t>
    </rPh>
    <rPh sb="3" eb="5">
      <t>ホアン</t>
    </rPh>
    <rPh sb="5" eb="7">
      <t>タイセイ</t>
    </rPh>
    <phoneticPr fontId="2"/>
  </si>
  <si>
    <t>等級1.3,1.4,1.6</t>
    <rPh sb="0" eb="2">
      <t>トウキュウ</t>
    </rPh>
    <phoneticPr fontId="2"/>
  </si>
  <si>
    <t>酸化性物質</t>
    <rPh sb="0" eb="3">
      <t>サンカセイ</t>
    </rPh>
    <rPh sb="3" eb="5">
      <t>ブッシツ</t>
    </rPh>
    <phoneticPr fontId="2"/>
  </si>
  <si>
    <t>有機過酸化物</t>
    <rPh sb="0" eb="2">
      <t>ユウキ</t>
    </rPh>
    <rPh sb="2" eb="5">
      <t>カサンカ</t>
    </rPh>
    <rPh sb="5" eb="6">
      <t>ブツ</t>
    </rPh>
    <phoneticPr fontId="2"/>
  </si>
  <si>
    <t>その他の危険物</t>
    <rPh sb="2" eb="3">
      <t>タ</t>
    </rPh>
    <rPh sb="4" eb="7">
      <t>キケンブツ</t>
    </rPh>
    <phoneticPr fontId="2"/>
  </si>
  <si>
    <t>高圧ガス</t>
    <rPh sb="0" eb="2">
      <t>コウアツ</t>
    </rPh>
    <phoneticPr fontId="2"/>
  </si>
  <si>
    <t>引火性高圧ガス</t>
    <rPh sb="0" eb="3">
      <t>インカセイ</t>
    </rPh>
    <rPh sb="3" eb="5">
      <t>コウアツ</t>
    </rPh>
    <phoneticPr fontId="2"/>
  </si>
  <si>
    <t>非引火性非毒性高圧ガス</t>
    <rPh sb="0" eb="1">
      <t>ヒ</t>
    </rPh>
    <rPh sb="1" eb="4">
      <t>インカセイ</t>
    </rPh>
    <rPh sb="4" eb="5">
      <t>ヒ</t>
    </rPh>
    <rPh sb="5" eb="7">
      <t>ドクセイ</t>
    </rPh>
    <rPh sb="7" eb="9">
      <t>コウアツ</t>
    </rPh>
    <phoneticPr fontId="2"/>
  </si>
  <si>
    <t>毒性高圧ガス</t>
    <rPh sb="0" eb="2">
      <t>ドクセイ</t>
    </rPh>
    <rPh sb="2" eb="4">
      <t>コウアツ</t>
    </rPh>
    <phoneticPr fontId="2"/>
  </si>
  <si>
    <t>引火性液体類</t>
    <rPh sb="0" eb="3">
      <t>インカセイ</t>
    </rPh>
    <rPh sb="3" eb="5">
      <t>エキタイ</t>
    </rPh>
    <rPh sb="5" eb="6">
      <t>ルイ</t>
    </rPh>
    <phoneticPr fontId="2"/>
  </si>
  <si>
    <t>容器等級Ⅰ</t>
    <rPh sb="0" eb="2">
      <t>ヨウキ</t>
    </rPh>
    <rPh sb="2" eb="4">
      <t>トウキュウ</t>
    </rPh>
    <phoneticPr fontId="2"/>
  </si>
  <si>
    <t>容器等級Ⅱ</t>
    <rPh sb="0" eb="2">
      <t>ヨウキ</t>
    </rPh>
    <rPh sb="2" eb="4">
      <t>トウキュウ</t>
    </rPh>
    <phoneticPr fontId="2"/>
  </si>
  <si>
    <t>容器等級Ⅲ</t>
    <rPh sb="0" eb="2">
      <t>ヨウキ</t>
    </rPh>
    <rPh sb="2" eb="4">
      <t>トウキュウ</t>
    </rPh>
    <phoneticPr fontId="2"/>
  </si>
  <si>
    <t>可燃性物質類</t>
    <rPh sb="0" eb="3">
      <t>カネンセイ</t>
    </rPh>
    <rPh sb="3" eb="5">
      <t>ブッシツ</t>
    </rPh>
    <rPh sb="5" eb="6">
      <t>ルイ</t>
    </rPh>
    <phoneticPr fontId="2"/>
  </si>
  <si>
    <t>可燃性物質</t>
    <rPh sb="0" eb="3">
      <t>カネンセイ</t>
    </rPh>
    <rPh sb="3" eb="5">
      <t>ブッシツ</t>
    </rPh>
    <phoneticPr fontId="2"/>
  </si>
  <si>
    <t>自然発火性物質</t>
    <rPh sb="0" eb="2">
      <t>シゼン</t>
    </rPh>
    <rPh sb="2" eb="5">
      <t>ハッカセイ</t>
    </rPh>
    <rPh sb="5" eb="7">
      <t>ブッシツ</t>
    </rPh>
    <phoneticPr fontId="2"/>
  </si>
  <si>
    <t>水反応可燃性物質</t>
    <rPh sb="0" eb="1">
      <t>ミズ</t>
    </rPh>
    <rPh sb="1" eb="3">
      <t>ハンノウ</t>
    </rPh>
    <rPh sb="3" eb="6">
      <t>カネンセイ</t>
    </rPh>
    <rPh sb="6" eb="8">
      <t>ブッシツ</t>
    </rPh>
    <phoneticPr fontId="2"/>
  </si>
  <si>
    <t>酸化性物質類</t>
    <rPh sb="0" eb="3">
      <t>サンカセイ</t>
    </rPh>
    <rPh sb="3" eb="5">
      <t>ブッシツ</t>
    </rPh>
    <rPh sb="5" eb="6">
      <t>ルイ</t>
    </rPh>
    <phoneticPr fontId="2"/>
  </si>
  <si>
    <t>有機過酸化物　爆発物を除く</t>
    <rPh sb="0" eb="2">
      <t>ユウキ</t>
    </rPh>
    <rPh sb="2" eb="5">
      <t>カサンカ</t>
    </rPh>
    <rPh sb="5" eb="6">
      <t>ブツ</t>
    </rPh>
    <rPh sb="7" eb="10">
      <t>バクハツブツ</t>
    </rPh>
    <rPh sb="11" eb="12">
      <t>ノゾ</t>
    </rPh>
    <phoneticPr fontId="2"/>
  </si>
  <si>
    <t>毒物類</t>
    <rPh sb="0" eb="2">
      <t>ドクブツ</t>
    </rPh>
    <rPh sb="2" eb="3">
      <t>ルイ</t>
    </rPh>
    <phoneticPr fontId="2"/>
  </si>
  <si>
    <t>放射性物質等</t>
    <rPh sb="0" eb="3">
      <t>ホウシャセイ</t>
    </rPh>
    <rPh sb="3" eb="5">
      <t>ブッシツ</t>
    </rPh>
    <rPh sb="5" eb="6">
      <t>トウ</t>
    </rPh>
    <phoneticPr fontId="2"/>
  </si>
  <si>
    <t>第1種</t>
    <rPh sb="0" eb="1">
      <t>ダイ</t>
    </rPh>
    <rPh sb="2" eb="3">
      <t>シュ</t>
    </rPh>
    <phoneticPr fontId="2"/>
  </si>
  <si>
    <t>―</t>
    <phoneticPr fontId="2"/>
  </si>
  <si>
    <t>特別の保安体制をとること</t>
    <phoneticPr fontId="2"/>
  </si>
  <si>
    <t>第2種</t>
    <rPh sb="0" eb="1">
      <t>ダイ</t>
    </rPh>
    <rPh sb="2" eb="3">
      <t>シュ</t>
    </rPh>
    <phoneticPr fontId="2"/>
  </si>
  <si>
    <t>―</t>
    <phoneticPr fontId="2"/>
  </si>
  <si>
    <t>第3種</t>
    <rPh sb="0" eb="1">
      <t>ダイ</t>
    </rPh>
    <rPh sb="2" eb="3">
      <t>シュ</t>
    </rPh>
    <phoneticPr fontId="2"/>
  </si>
  <si>
    <t>腐食性物質</t>
    <rPh sb="0" eb="3">
      <t>フショクセイ</t>
    </rPh>
    <rPh sb="3" eb="5">
      <t>ブッシツ</t>
    </rPh>
    <phoneticPr fontId="2"/>
  </si>
  <si>
    <t>有害性物質</t>
    <rPh sb="0" eb="3">
      <t>ユウガイセイ</t>
    </rPh>
    <rPh sb="3" eb="5">
      <t>ブッシツ</t>
    </rPh>
    <phoneticPr fontId="2"/>
  </si>
  <si>
    <t>その他</t>
    <rPh sb="2" eb="3">
      <t>タ</t>
    </rPh>
    <phoneticPr fontId="2"/>
  </si>
  <si>
    <t>（注）３参照</t>
    <rPh sb="1" eb="2">
      <t>チュウ</t>
    </rPh>
    <rPh sb="4" eb="6">
      <t>サンショウ</t>
    </rPh>
    <phoneticPr fontId="2"/>
  </si>
  <si>
    <t>（注）</t>
  </si>
  <si>
    <t>１　単位は、正味重量（火薬類については、爆薬に換算した薬量）のトン数（圧縮ガスにあって</t>
  </si>
  <si>
    <t xml:space="preserve">  　は、容量（温度摂氏零度、ゲージ圧力零度キログラム毎平方センチメートルの状態に換算した</t>
    <phoneticPr fontId="2"/>
  </si>
  <si>
    <t xml:space="preserve"> 　 容積をいう。）１００立方メートルを１トンとみなす。）である。</t>
    <phoneticPr fontId="2"/>
  </si>
  <si>
    <t>２　爆薬１トンに換算される火薬、弾薬及び火工品の数量は、下記のとおりである。</t>
  </si>
  <si>
    <t>爆薬1トンに換算される数量</t>
    <rPh sb="0" eb="2">
      <t>バクヤク</t>
    </rPh>
    <rPh sb="6" eb="8">
      <t>カンサン</t>
    </rPh>
    <rPh sb="11" eb="13">
      <t>スウリョウ</t>
    </rPh>
    <phoneticPr fontId="2"/>
  </si>
  <si>
    <t>火薬</t>
    <rPh sb="0" eb="2">
      <t>カヤク</t>
    </rPh>
    <phoneticPr fontId="2"/>
  </si>
  <si>
    <t>2トン</t>
    <phoneticPr fontId="2"/>
  </si>
  <si>
    <t>火工品（弾薬を含む）</t>
    <rPh sb="0" eb="3">
      <t>カコウヒン</t>
    </rPh>
    <rPh sb="4" eb="6">
      <t>ダンヤク</t>
    </rPh>
    <rPh sb="7" eb="8">
      <t>フク</t>
    </rPh>
    <phoneticPr fontId="2"/>
  </si>
  <si>
    <t>実包又は空包</t>
    <rPh sb="0" eb="2">
      <t>ジッポウ</t>
    </rPh>
    <rPh sb="2" eb="3">
      <t>マタ</t>
    </rPh>
    <rPh sb="4" eb="6">
      <t>クウホウ</t>
    </rPh>
    <phoneticPr fontId="2"/>
  </si>
  <si>
    <t>2,000,000個</t>
    <rPh sb="9" eb="10">
      <t>コ</t>
    </rPh>
    <phoneticPr fontId="2"/>
  </si>
  <si>
    <t>信管又は火管</t>
    <rPh sb="0" eb="2">
      <t>シンカン</t>
    </rPh>
    <rPh sb="2" eb="3">
      <t>マタ</t>
    </rPh>
    <rPh sb="4" eb="5">
      <t>ヒ</t>
    </rPh>
    <rPh sb="5" eb="6">
      <t>カン</t>
    </rPh>
    <phoneticPr fontId="2"/>
  </si>
  <si>
    <t>50,000個</t>
    <rPh sb="6" eb="7">
      <t>コ</t>
    </rPh>
    <phoneticPr fontId="2"/>
  </si>
  <si>
    <t>銃用雷管</t>
    <rPh sb="0" eb="1">
      <t>ジュウ</t>
    </rPh>
    <rPh sb="1" eb="2">
      <t>ヨウ</t>
    </rPh>
    <rPh sb="2" eb="4">
      <t>ライカン</t>
    </rPh>
    <phoneticPr fontId="2"/>
  </si>
  <si>
    <t>10,000,000個</t>
    <rPh sb="10" eb="11">
      <t>コ</t>
    </rPh>
    <phoneticPr fontId="2"/>
  </si>
  <si>
    <t>工業雷管又は電気雷管</t>
    <rPh sb="0" eb="2">
      <t>コウギョウ</t>
    </rPh>
    <rPh sb="2" eb="4">
      <t>ライカン</t>
    </rPh>
    <rPh sb="4" eb="5">
      <t>マタ</t>
    </rPh>
    <rPh sb="6" eb="8">
      <t>デンキ</t>
    </rPh>
    <rPh sb="8" eb="10">
      <t>ライカン</t>
    </rPh>
    <phoneticPr fontId="2"/>
  </si>
  <si>
    <t>1,000,000個</t>
    <rPh sb="9" eb="10">
      <t>コ</t>
    </rPh>
    <phoneticPr fontId="2"/>
  </si>
  <si>
    <t>信号雷管</t>
    <rPh sb="0" eb="2">
      <t>シンゴウ</t>
    </rPh>
    <rPh sb="2" eb="4">
      <t>ライカン</t>
    </rPh>
    <phoneticPr fontId="2"/>
  </si>
  <si>
    <t>250,000個</t>
    <rPh sb="7" eb="8">
      <t>コ</t>
    </rPh>
    <phoneticPr fontId="2"/>
  </si>
  <si>
    <t>導爆線</t>
    <rPh sb="0" eb="1">
      <t>ドウ</t>
    </rPh>
    <rPh sb="1" eb="2">
      <t>バク</t>
    </rPh>
    <rPh sb="2" eb="3">
      <t>セン</t>
    </rPh>
    <phoneticPr fontId="2"/>
  </si>
  <si>
    <t>50キロメートル</t>
    <phoneticPr fontId="2"/>
  </si>
  <si>
    <t>コンクリート破砕器</t>
    <rPh sb="6" eb="8">
      <t>ハサイ</t>
    </rPh>
    <rPh sb="8" eb="9">
      <t>キ</t>
    </rPh>
    <phoneticPr fontId="2"/>
  </si>
  <si>
    <t>100,000個</t>
    <rPh sb="7" eb="8">
      <t>コ</t>
    </rPh>
    <phoneticPr fontId="2"/>
  </si>
  <si>
    <t>導火管付き雷管</t>
    <rPh sb="0" eb="2">
      <t>ドウカ</t>
    </rPh>
    <rPh sb="2" eb="3">
      <t>カン</t>
    </rPh>
    <rPh sb="3" eb="4">
      <t>ツ</t>
    </rPh>
    <rPh sb="5" eb="7">
      <t>ライカン</t>
    </rPh>
    <phoneticPr fontId="2"/>
  </si>
  <si>
    <t>制御発破用コード</t>
    <rPh sb="0" eb="2">
      <t>セイギョ</t>
    </rPh>
    <rPh sb="2" eb="4">
      <t>ハッパ</t>
    </rPh>
    <rPh sb="4" eb="5">
      <t>ヨウ</t>
    </rPh>
    <phoneticPr fontId="2"/>
  </si>
  <si>
    <t>10キロメートル</t>
    <phoneticPr fontId="2"/>
  </si>
  <si>
    <t>その原料をなす火薬2トン又は爆薬1トン</t>
    <rPh sb="2" eb="4">
      <t>ゲンリョウ</t>
    </rPh>
    <rPh sb="7" eb="9">
      <t>カヤク</t>
    </rPh>
    <rPh sb="12" eb="13">
      <t>マタ</t>
    </rPh>
    <rPh sb="14" eb="16">
      <t>バクヤク</t>
    </rPh>
    <phoneticPr fontId="2"/>
  </si>
  <si>
    <t>３　その他（化学廃液）については、含有する成分が同じ類別である場合は、その数量は腐食性</t>
  </si>
  <si>
    <t xml:space="preserve">  物質、毒物類、引火性液体類、可燃性物質類及び酸化物質類のいずれかの類別に当てはめる。</t>
  </si>
  <si>
    <t>個別判定</t>
    <rPh sb="0" eb="2">
      <t>コベツ</t>
    </rPh>
    <rPh sb="2" eb="4">
      <t>ハンテイ</t>
    </rPh>
    <phoneticPr fontId="2"/>
  </si>
  <si>
    <t>※</t>
    <phoneticPr fontId="2"/>
  </si>
  <si>
    <t>非引火性非毒性
高圧ガス</t>
    <rPh sb="0" eb="1">
      <t>ヒ</t>
    </rPh>
    <rPh sb="1" eb="3">
      <t>インカ</t>
    </rPh>
    <rPh sb="3" eb="4">
      <t>セイ</t>
    </rPh>
    <rPh sb="4" eb="5">
      <t>ヒ</t>
    </rPh>
    <rPh sb="5" eb="7">
      <t>ドクセイ</t>
    </rPh>
    <rPh sb="8" eb="10">
      <t>コウアツ</t>
    </rPh>
    <phoneticPr fontId="2"/>
  </si>
  <si>
    <t>有機過酸化物
（爆発物を除く）</t>
    <phoneticPr fontId="2"/>
  </si>
  <si>
    <t>【岸壁種別について】</t>
    <rPh sb="1" eb="3">
      <t>ガンペキ</t>
    </rPh>
    <rPh sb="3" eb="5">
      <t>シュベツ</t>
    </rPh>
    <phoneticPr fontId="2"/>
  </si>
  <si>
    <t>リストから該当する岸壁種別を選択してください。岸壁種別に応じて自動的に危険物種別ごとの接岸荷役許容量が反映されます。</t>
    <rPh sb="5" eb="7">
      <t>ガイトウ</t>
    </rPh>
    <rPh sb="9" eb="11">
      <t>ガンペキ</t>
    </rPh>
    <rPh sb="11" eb="13">
      <t>シュベツ</t>
    </rPh>
    <rPh sb="14" eb="16">
      <t>センタク</t>
    </rPh>
    <rPh sb="23" eb="25">
      <t>ガンペキ</t>
    </rPh>
    <rPh sb="25" eb="27">
      <t>シュベツ</t>
    </rPh>
    <rPh sb="28" eb="29">
      <t>オウ</t>
    </rPh>
    <rPh sb="31" eb="34">
      <t>ジドウテキ</t>
    </rPh>
    <rPh sb="35" eb="38">
      <t>キケンブツ</t>
    </rPh>
    <rPh sb="38" eb="40">
      <t>シュベツ</t>
    </rPh>
    <rPh sb="43" eb="47">
      <t>セツガンニヤク</t>
    </rPh>
    <rPh sb="47" eb="50">
      <t>キョヨウリョウ</t>
    </rPh>
    <rPh sb="51" eb="53">
      <t>ハンエイ</t>
    </rPh>
    <phoneticPr fontId="2"/>
  </si>
  <si>
    <t>①</t>
    <phoneticPr fontId="2"/>
  </si>
  <si>
    <t>②</t>
    <phoneticPr fontId="2"/>
  </si>
  <si>
    <t>【荷役数量について】</t>
    <rPh sb="1" eb="3">
      <t>ニヤク</t>
    </rPh>
    <rPh sb="3" eb="5">
      <t>スウリョウ</t>
    </rPh>
    <phoneticPr fontId="2"/>
  </si>
  <si>
    <t>【個別判定について】</t>
    <rPh sb="1" eb="5">
      <t>コベツハンテイ</t>
    </rPh>
    <phoneticPr fontId="2"/>
  </si>
  <si>
    <t>③</t>
    <phoneticPr fontId="2"/>
  </si>
  <si>
    <t>個別判定の表示は以下のとおりです。</t>
    <rPh sb="0" eb="4">
      <t>コベツハンテイ</t>
    </rPh>
    <rPh sb="5" eb="7">
      <t>ヒョウジ</t>
    </rPh>
    <rPh sb="8" eb="10">
      <t>イカ</t>
    </rPh>
    <phoneticPr fontId="2"/>
  </si>
  <si>
    <t>「ー」：</t>
    <phoneticPr fontId="2"/>
  </si>
  <si>
    <t>「×」：</t>
    <phoneticPr fontId="2"/>
  </si>
  <si>
    <t>「〇」：</t>
    <phoneticPr fontId="2"/>
  </si>
  <si>
    <t>危険物接岸荷役許容量判定表について</t>
    <phoneticPr fontId="2"/>
  </si>
  <si>
    <t>①</t>
    <phoneticPr fontId="2"/>
  </si>
  <si>
    <t>最終更新日</t>
    <rPh sb="0" eb="5">
      <t>サイシュウコウシンビ</t>
    </rPh>
    <phoneticPr fontId="2"/>
  </si>
  <si>
    <t>④</t>
    <phoneticPr fontId="2"/>
  </si>
  <si>
    <t>　そ　　の　　他　　の　　危　　険　　物　　</t>
    <rPh sb="7" eb="8">
      <t>タ</t>
    </rPh>
    <rPh sb="13" eb="14">
      <t>キ</t>
    </rPh>
    <rPh sb="16" eb="17">
      <t>ケン</t>
    </rPh>
    <rPh sb="19" eb="20">
      <t>モノ</t>
    </rPh>
    <phoneticPr fontId="2"/>
  </si>
  <si>
    <t>爆 発 物</t>
    <rPh sb="0" eb="1">
      <t>バク</t>
    </rPh>
    <rPh sb="2" eb="3">
      <t>ハッ</t>
    </rPh>
    <rPh sb="4" eb="5">
      <t>モノ</t>
    </rPh>
    <phoneticPr fontId="2"/>
  </si>
  <si>
    <t>通過危険物数量
（開放）</t>
    <rPh sb="0" eb="2">
      <t>ツウカ</t>
    </rPh>
    <rPh sb="2" eb="5">
      <t>キケンブツ</t>
    </rPh>
    <rPh sb="5" eb="7">
      <t>スウリョウ</t>
    </rPh>
    <rPh sb="9" eb="11">
      <t>カイホウ</t>
    </rPh>
    <phoneticPr fontId="2"/>
  </si>
  <si>
    <t>通過危険物数量
（非開放）</t>
    <rPh sb="0" eb="2">
      <t>ツウカ</t>
    </rPh>
    <rPh sb="2" eb="5">
      <t>キケンブツ</t>
    </rPh>
    <rPh sb="5" eb="7">
      <t>スウリョウ</t>
    </rPh>
    <rPh sb="9" eb="10">
      <t>ヒ</t>
    </rPh>
    <rPh sb="10" eb="12">
      <t>カイホウ</t>
    </rPh>
    <phoneticPr fontId="2"/>
  </si>
  <si>
    <t>荷役可否総合判定結果</t>
    <rPh sb="0" eb="2">
      <t>ニヤク</t>
    </rPh>
    <rPh sb="2" eb="4">
      <t>カヒ</t>
    </rPh>
    <rPh sb="4" eb="6">
      <t>ソウゴウ</t>
    </rPh>
    <rPh sb="6" eb="8">
      <t>ハンテイ</t>
    </rPh>
    <rPh sb="8" eb="10">
      <t>ケッカ</t>
    </rPh>
    <phoneticPr fontId="2"/>
  </si>
  <si>
    <t>酸化性物質</t>
    <rPh sb="0" eb="5">
      <t>サンカセイブッシツ</t>
    </rPh>
    <phoneticPr fontId="2"/>
  </si>
  <si>
    <t>高圧ガス</t>
    <rPh sb="0" eb="2">
      <t>コウアツ</t>
    </rPh>
    <phoneticPr fontId="2"/>
  </si>
  <si>
    <t>引火性液体類</t>
    <rPh sb="0" eb="6">
      <t>インカセイエキタイルイ</t>
    </rPh>
    <phoneticPr fontId="2"/>
  </si>
  <si>
    <t>可燃性物質類</t>
    <rPh sb="0" eb="6">
      <t>カネンセイブッシツルイ</t>
    </rPh>
    <phoneticPr fontId="2"/>
  </si>
  <si>
    <t>酸化性物質類</t>
    <rPh sb="0" eb="3">
      <t>サンカセイ</t>
    </rPh>
    <rPh sb="3" eb="6">
      <t>ブッシツルイ</t>
    </rPh>
    <phoneticPr fontId="2"/>
  </si>
  <si>
    <t>毒物類</t>
    <rPh sb="0" eb="3">
      <t>ドクブツルイ</t>
    </rPh>
    <phoneticPr fontId="2"/>
  </si>
  <si>
    <t>放射性物質等</t>
    <rPh sb="0" eb="5">
      <t>ホウシャセイブッシツ</t>
    </rPh>
    <rPh sb="5" eb="6">
      <t>トウ</t>
    </rPh>
    <phoneticPr fontId="2"/>
  </si>
  <si>
    <t>腐食性物質</t>
    <rPh sb="0" eb="5">
      <t>フショクセイブッシツ</t>
    </rPh>
    <phoneticPr fontId="2"/>
  </si>
  <si>
    <t>有害性物質</t>
    <rPh sb="0" eb="5">
      <t>ユウガイセイブッシツ</t>
    </rPh>
    <phoneticPr fontId="2"/>
  </si>
  <si>
    <t>複数の危険物種別の荷役の場合であっても、それぞれの危険物種別単体について荷役許容量内であるかを判定しています。</t>
    <rPh sb="0" eb="2">
      <t>フクスウ</t>
    </rPh>
    <rPh sb="3" eb="6">
      <t>キケンブツ</t>
    </rPh>
    <rPh sb="6" eb="8">
      <t>シュベツ</t>
    </rPh>
    <rPh sb="9" eb="11">
      <t>ニヤク</t>
    </rPh>
    <rPh sb="12" eb="14">
      <t>バアイ</t>
    </rPh>
    <rPh sb="25" eb="28">
      <t>キケンブツ</t>
    </rPh>
    <rPh sb="28" eb="30">
      <t>シュベツ</t>
    </rPh>
    <rPh sb="30" eb="32">
      <t>タンタイ</t>
    </rPh>
    <rPh sb="36" eb="38">
      <t>ニヤク</t>
    </rPh>
    <rPh sb="38" eb="41">
      <t>キョヨウリョウ</t>
    </rPh>
    <rPh sb="41" eb="42">
      <t>ナイ</t>
    </rPh>
    <rPh sb="47" eb="49">
      <t>ハンテイ</t>
    </rPh>
    <phoneticPr fontId="2"/>
  </si>
  <si>
    <t>=SUM(Q8:S8)</t>
    <phoneticPr fontId="2"/>
  </si>
  <si>
    <t>=SUM(Q8:S8)</t>
    <phoneticPr fontId="2"/>
  </si>
  <si>
    <t>=IF($G8="","",($G8/1000)/$F8)</t>
    <phoneticPr fontId="2"/>
  </si>
  <si>
    <t>=IF(F8=0,"×",IF(T8=0,"-",IF(T8&gt;1,"×","〇")))</t>
    <phoneticPr fontId="2"/>
  </si>
  <si>
    <t>荷役数量計算式</t>
    <rPh sb="0" eb="4">
      <t>ニヤクスウリョウ</t>
    </rPh>
    <rPh sb="4" eb="7">
      <t>ケイサンシキ</t>
    </rPh>
    <phoneticPr fontId="2"/>
  </si>
  <si>
    <t>通過危険物計算式（開放）</t>
    <rPh sb="0" eb="2">
      <t>ツウカ</t>
    </rPh>
    <rPh sb="2" eb="5">
      <t>キケンブツ</t>
    </rPh>
    <rPh sb="5" eb="7">
      <t>ケイサン</t>
    </rPh>
    <rPh sb="7" eb="8">
      <t>シキ</t>
    </rPh>
    <rPh sb="9" eb="11">
      <t>カイホウ</t>
    </rPh>
    <phoneticPr fontId="2"/>
  </si>
  <si>
    <t>通過危険物計算式（非開放）</t>
    <rPh sb="0" eb="2">
      <t>ツウカ</t>
    </rPh>
    <rPh sb="2" eb="5">
      <t>キケンブツ</t>
    </rPh>
    <rPh sb="5" eb="7">
      <t>ケイサン</t>
    </rPh>
    <rPh sb="7" eb="8">
      <t>シキ</t>
    </rPh>
    <rPh sb="9" eb="10">
      <t>ヒ</t>
    </rPh>
    <rPh sb="10" eb="12">
      <t>カイホウ</t>
    </rPh>
    <phoneticPr fontId="2"/>
  </si>
  <si>
    <t>荷役判定計算式</t>
    <rPh sb="0" eb="4">
      <t>ニヤクハンテイ</t>
    </rPh>
    <rPh sb="4" eb="7">
      <t>ケイサンシキ</t>
    </rPh>
    <phoneticPr fontId="2"/>
  </si>
  <si>
    <t>荷役判定計算式（エラー時代替）</t>
    <rPh sb="0" eb="4">
      <t>ニヤクハンテイ</t>
    </rPh>
    <rPh sb="4" eb="7">
      <t>ケイサンシキ</t>
    </rPh>
    <rPh sb="11" eb="12">
      <t>ジ</t>
    </rPh>
    <rPh sb="12" eb="14">
      <t>ダイカ</t>
    </rPh>
    <phoneticPr fontId="2"/>
  </si>
  <si>
    <t>計算結果（個判用）</t>
    <rPh sb="0" eb="2">
      <t>ケイサン</t>
    </rPh>
    <rPh sb="2" eb="4">
      <t>ケッカ</t>
    </rPh>
    <rPh sb="5" eb="6">
      <t>コ</t>
    </rPh>
    <rPh sb="6" eb="7">
      <t>ワカ</t>
    </rPh>
    <rPh sb="7" eb="8">
      <t>ヨウ</t>
    </rPh>
    <phoneticPr fontId="2"/>
  </si>
  <si>
    <r>
      <t>荷役許容量が「０」のときは入力できません。</t>
    </r>
    <r>
      <rPr>
        <sz val="11"/>
        <rFont val="UD デジタル 教科書体 NK-R"/>
        <family val="1"/>
        <charset val="128"/>
      </rPr>
      <t>ただし、許容量のある岸壁から許容量のない岸壁に切り替えた場合は、</t>
    </r>
    <r>
      <rPr>
        <sz val="11"/>
        <color rgb="FFFF0000"/>
        <rFont val="UD デジタル 教科書体 NK-R"/>
        <family val="1"/>
        <charset val="128"/>
      </rPr>
      <t>入力値が引き継がれる</t>
    </r>
    <r>
      <rPr>
        <sz val="11"/>
        <rFont val="UD デジタル 教科書体 NK-R"/>
        <family val="1"/>
        <charset val="128"/>
      </rPr>
      <t>ため、</t>
    </r>
    <r>
      <rPr>
        <sz val="11"/>
        <color rgb="FFFF0000"/>
        <rFont val="UD デジタル 教科書体 NK-R"/>
        <family val="1"/>
        <charset val="128"/>
      </rPr>
      <t>正しく判定されない場合がある</t>
    </r>
    <r>
      <rPr>
        <sz val="11"/>
        <rFont val="UD デジタル 教科書体 NK-R"/>
        <family val="1"/>
        <charset val="128"/>
      </rPr>
      <t>ので注意願います。</t>
    </r>
    <rPh sb="0" eb="2">
      <t>ニヤク</t>
    </rPh>
    <rPh sb="2" eb="5">
      <t>キョヨウリョウ</t>
    </rPh>
    <rPh sb="13" eb="15">
      <t>ニュウリョク</t>
    </rPh>
    <rPh sb="25" eb="28">
      <t>キョヨウリョウ</t>
    </rPh>
    <rPh sb="31" eb="33">
      <t>ガンペキ</t>
    </rPh>
    <rPh sb="35" eb="38">
      <t>キョヨウリョウ</t>
    </rPh>
    <rPh sb="41" eb="43">
      <t>ガンペキ</t>
    </rPh>
    <rPh sb="44" eb="45">
      <t>キ</t>
    </rPh>
    <rPh sb="46" eb="47">
      <t>カ</t>
    </rPh>
    <rPh sb="49" eb="51">
      <t>バアイ</t>
    </rPh>
    <rPh sb="53" eb="55">
      <t>ニュウリョク</t>
    </rPh>
    <rPh sb="55" eb="56">
      <t>チ</t>
    </rPh>
    <rPh sb="57" eb="58">
      <t>ヒ</t>
    </rPh>
    <rPh sb="59" eb="60">
      <t>ツ</t>
    </rPh>
    <rPh sb="66" eb="67">
      <t>タダ</t>
    </rPh>
    <rPh sb="69" eb="71">
      <t>ハンテイ</t>
    </rPh>
    <rPh sb="75" eb="77">
      <t>バアイ</t>
    </rPh>
    <rPh sb="82" eb="84">
      <t>チュウイ</t>
    </rPh>
    <rPh sb="84" eb="85">
      <t>ネガ</t>
    </rPh>
    <phoneticPr fontId="2"/>
  </si>
  <si>
    <t>未入力等のため判定していない状態</t>
    <rPh sb="0" eb="1">
      <t>ミ</t>
    </rPh>
    <rPh sb="1" eb="3">
      <t>ニュウリョク</t>
    </rPh>
    <rPh sb="3" eb="4">
      <t>トウ</t>
    </rPh>
    <rPh sb="7" eb="9">
      <t>ハンテイ</t>
    </rPh>
    <rPh sb="14" eb="16">
      <t>ジョウタイ</t>
    </rPh>
    <phoneticPr fontId="2"/>
  </si>
  <si>
    <t>=IF($G8="","",($G8/1000)/（$F8*2)）</t>
    <phoneticPr fontId="2"/>
  </si>
  <si>
    <t>=IF($G8="","",($G8/1000)/($F8*5))</t>
    <phoneticPr fontId="2"/>
  </si>
  <si>
    <t>【荷役可否総合判定結果】</t>
    <rPh sb="5" eb="7">
      <t>ソウゴウ</t>
    </rPh>
    <phoneticPr fontId="2"/>
  </si>
  <si>
    <r>
      <t>利用上の注意：この判定シートの荷役数量等の入力は</t>
    </r>
    <r>
      <rPr>
        <u/>
        <sz val="10.5"/>
        <color rgb="FFFF0000"/>
        <rFont val="UD デジタル 教科書体 NK-B"/>
        <family val="1"/>
        <charset val="128"/>
      </rPr>
      <t>トン</t>
    </r>
    <r>
      <rPr>
        <sz val="10.5"/>
        <rFont val="UD デジタル 教科書体 NK-B"/>
        <family val="1"/>
        <charset val="128"/>
      </rPr>
      <t>ではなく</t>
    </r>
    <r>
      <rPr>
        <u/>
        <sz val="10.5"/>
        <color rgb="FFFF0000"/>
        <rFont val="UD デジタル 教科書体 NK-B"/>
        <family val="1"/>
        <charset val="128"/>
      </rPr>
      <t>キログラム</t>
    </r>
    <r>
      <rPr>
        <sz val="10.5"/>
        <rFont val="UD デジタル 教科書体 NK-B"/>
        <family val="1"/>
        <charset val="128"/>
      </rPr>
      <t>で入力すること。</t>
    </r>
    <rPh sb="0" eb="3">
      <t>リヨウジョウ</t>
    </rPh>
    <rPh sb="4" eb="6">
      <t>チュウイ</t>
    </rPh>
    <rPh sb="9" eb="11">
      <t>ハンテイ</t>
    </rPh>
    <rPh sb="15" eb="17">
      <t>ニヤク</t>
    </rPh>
    <rPh sb="17" eb="19">
      <t>スウリョウ</t>
    </rPh>
    <rPh sb="19" eb="20">
      <t>トウ</t>
    </rPh>
    <rPh sb="21" eb="23">
      <t>ニュウリョク</t>
    </rPh>
    <rPh sb="36" eb="38">
      <t>ニュウリョク</t>
    </rPh>
    <phoneticPr fontId="2"/>
  </si>
  <si>
    <r>
      <t>利用上の注意：この判定シートの荷役数量等は</t>
    </r>
    <r>
      <rPr>
        <u/>
        <sz val="10.5"/>
        <color rgb="FFFF0000"/>
        <rFont val="UD デジタル 教科書体 NK-B"/>
        <family val="1"/>
        <charset val="128"/>
      </rPr>
      <t>トン</t>
    </r>
    <r>
      <rPr>
        <sz val="10.5"/>
        <rFont val="UD デジタル 教科書体 NK-B"/>
        <family val="1"/>
        <charset val="128"/>
      </rPr>
      <t>で入力すること。</t>
    </r>
    <rPh sb="0" eb="3">
      <t>リヨウジョウ</t>
    </rPh>
    <rPh sb="4" eb="6">
      <t>チュウイ</t>
    </rPh>
    <rPh sb="9" eb="11">
      <t>ハンテイ</t>
    </rPh>
    <rPh sb="15" eb="17">
      <t>ニヤク</t>
    </rPh>
    <rPh sb="17" eb="19">
      <t>スウリョウ</t>
    </rPh>
    <rPh sb="19" eb="20">
      <t>トウ</t>
    </rPh>
    <rPh sb="24" eb="26">
      <t>ニュウリョク</t>
    </rPh>
    <phoneticPr fontId="2"/>
  </si>
  <si>
    <t>荷役数量（ｔ）</t>
    <rPh sb="0" eb="2">
      <t>ニヤク</t>
    </rPh>
    <rPh sb="2" eb="4">
      <t>スウリョウ</t>
    </rPh>
    <phoneticPr fontId="2"/>
  </si>
  <si>
    <t>=IF($G8="","",$G8/（$F8*2)）</t>
    <phoneticPr fontId="2"/>
  </si>
  <si>
    <t>=IF($G8="","",$G8/$F8)</t>
    <phoneticPr fontId="2"/>
  </si>
  <si>
    <t>=IF($G8="","",$G8/($F8*5))</t>
    <phoneticPr fontId="2"/>
  </si>
  <si>
    <t>トン入力方式</t>
    <rPh sb="2" eb="6">
      <t>ニュウリョクホウシキ</t>
    </rPh>
    <phoneticPr fontId="2"/>
  </si>
  <si>
    <t>キログラム入力方式</t>
    <rPh sb="5" eb="9">
      <t>ニュウリョクホウシキ</t>
    </rPh>
    <phoneticPr fontId="2"/>
  </si>
  <si>
    <t>【シートについて】</t>
    <phoneticPr fontId="2"/>
  </si>
  <si>
    <t>①</t>
    <phoneticPr fontId="2"/>
  </si>
  <si>
    <t>荷役許容量内である</t>
  </si>
  <si>
    <t>荷役許容量を超過している</t>
  </si>
  <si>
    <r>
      <t>荷役許容量が「０」の岸壁種別の場合、個別判定の隣に「</t>
    </r>
    <r>
      <rPr>
        <sz val="11"/>
        <color rgb="FFFF0000"/>
        <rFont val="UD デジタル 教科書体 NK-R"/>
        <family val="1"/>
        <charset val="128"/>
      </rPr>
      <t>※荷役不可</t>
    </r>
    <r>
      <rPr>
        <sz val="11"/>
        <color theme="1"/>
        <rFont val="UD デジタル 教科書体 NK-R"/>
        <family val="1"/>
        <charset val="128"/>
      </rPr>
      <t>」と赤文字で表示されます。</t>
    </r>
    <rPh sb="0" eb="5">
      <t>ニヤクキョヨウリョウ</t>
    </rPh>
    <rPh sb="10" eb="12">
      <t>ガンペキ</t>
    </rPh>
    <rPh sb="12" eb="14">
      <t>シュベツ</t>
    </rPh>
    <rPh sb="15" eb="17">
      <t>バアイ</t>
    </rPh>
    <rPh sb="18" eb="22">
      <t>コベツハンテイ</t>
    </rPh>
    <rPh sb="23" eb="24">
      <t>トナリ</t>
    </rPh>
    <rPh sb="27" eb="29">
      <t>ニヤク</t>
    </rPh>
    <rPh sb="29" eb="31">
      <t>フカ</t>
    </rPh>
    <rPh sb="33" eb="36">
      <t>アカモジ</t>
    </rPh>
    <rPh sb="37" eb="39">
      <t>ヒョウジ</t>
    </rPh>
    <phoneticPr fontId="2"/>
  </si>
  <si>
    <t>C2岸壁において、コンテナ専用船以外の船舶が危険物を荷役する場合は、C1岸壁の接岸荷役許容量が基準となりますので、その場合はC2ではなくC1を選択してください。</t>
    <rPh sb="2" eb="4">
      <t>ガンペキ</t>
    </rPh>
    <rPh sb="13" eb="16">
      <t>センヨウセン</t>
    </rPh>
    <rPh sb="16" eb="18">
      <t>イガイ</t>
    </rPh>
    <rPh sb="19" eb="21">
      <t>センパク</t>
    </rPh>
    <rPh sb="22" eb="25">
      <t>キケンブツ</t>
    </rPh>
    <rPh sb="26" eb="28">
      <t>ニヤク</t>
    </rPh>
    <rPh sb="30" eb="32">
      <t>バアイ</t>
    </rPh>
    <rPh sb="36" eb="38">
      <t>ガンペキ</t>
    </rPh>
    <rPh sb="39" eb="41">
      <t>セツガン</t>
    </rPh>
    <rPh sb="41" eb="46">
      <t>ニヤクキョヨウリョウ</t>
    </rPh>
    <rPh sb="47" eb="49">
      <t>キジュン</t>
    </rPh>
    <rPh sb="59" eb="61">
      <t>バアイ</t>
    </rPh>
    <rPh sb="71" eb="73">
      <t>センタク</t>
    </rPh>
    <phoneticPr fontId="2"/>
  </si>
  <si>
    <t>①</t>
    <phoneticPr fontId="2"/>
  </si>
  <si>
    <t>個別判定結果を踏まえ、総合的に荷役可否を判定した結果を表示しています。</t>
    <phoneticPr fontId="2"/>
  </si>
  <si>
    <r>
      <t>個別判定の右側に「</t>
    </r>
    <r>
      <rPr>
        <b/>
        <sz val="10"/>
        <color rgb="FFFF0000"/>
        <rFont val="UD デジタル 教科書体 NK-R"/>
        <family val="1"/>
        <charset val="128"/>
      </rPr>
      <t>※荷役不可</t>
    </r>
    <r>
      <rPr>
        <b/>
        <sz val="10"/>
        <rFont val="UD デジタル 教科書体 NK-R"/>
        <family val="1"/>
        <charset val="128"/>
      </rPr>
      <t>」と表示される場合は、岸壁許容量が０であるため、当該危険物の荷役はもちろん、通過貨物であっても接岸できません。</t>
    </r>
    <rPh sb="0" eb="4">
      <t>コベツハンテイ</t>
    </rPh>
    <rPh sb="5" eb="7">
      <t>ミギガワ</t>
    </rPh>
    <rPh sb="10" eb="14">
      <t>ニヤクフカ</t>
    </rPh>
    <rPh sb="16" eb="18">
      <t>ヒョウジ</t>
    </rPh>
    <rPh sb="21" eb="23">
      <t>バアイ</t>
    </rPh>
    <rPh sb="25" eb="30">
      <t>ガンペキキョヨウリョウ</t>
    </rPh>
    <rPh sb="38" eb="43">
      <t>トウガイキケンブツ</t>
    </rPh>
    <rPh sb="52" eb="56">
      <t>ツウカカモツ</t>
    </rPh>
    <rPh sb="61" eb="63">
      <t>セツガン</t>
    </rPh>
    <phoneticPr fontId="2"/>
  </si>
  <si>
    <t>シート①は荷役数量等をトンで入力する判定表です。</t>
    <rPh sb="5" eb="9">
      <t>ニヤクスウリョウ</t>
    </rPh>
    <rPh sb="9" eb="10">
      <t>トウ</t>
    </rPh>
    <rPh sb="14" eb="16">
      <t>ニュウリョク</t>
    </rPh>
    <rPh sb="18" eb="21">
      <t>ハンテイヒョウ</t>
    </rPh>
    <phoneticPr fontId="2"/>
  </si>
  <si>
    <t>シート②は荷役数量等をキログラムで入力する判定表です。</t>
    <rPh sb="5" eb="10">
      <t>ニヤクスウリョウトウ</t>
    </rPh>
    <rPh sb="17" eb="19">
      <t>ニュウリョク</t>
    </rPh>
    <rPh sb="21" eb="24">
      <t>ハンテイヒョウ</t>
    </rPh>
    <phoneticPr fontId="2"/>
  </si>
  <si>
    <t>使用に際しては、荷役数量に応じて使いやすいものをご利用ください。</t>
    <rPh sb="8" eb="12">
      <t>ニヤクスウリョウ</t>
    </rPh>
    <rPh sb="13" eb="14">
      <t>オウ</t>
    </rPh>
    <phoneticPr fontId="2"/>
  </si>
  <si>
    <r>
      <t>荷役数量が接岸荷役許容量内であれば</t>
    </r>
    <r>
      <rPr>
        <sz val="11"/>
        <color rgb="FF0309FB"/>
        <rFont val="UD デジタル 教科書体 NK-R"/>
        <family val="1"/>
        <charset val="128"/>
      </rPr>
      <t>青数字</t>
    </r>
    <r>
      <rPr>
        <sz val="11"/>
        <color theme="1"/>
        <rFont val="UD デジタル 教科書体 NK-R"/>
        <family val="1"/>
        <charset val="128"/>
      </rPr>
      <t>で表示されます。荷役許容量を超える場合は　　　　　　　　　　　　　　　　　　　　の表示となります。なお、危険物種別が火薬類の場合については、荷役許容量内であっても『原則、関係者等との事前協議が必要な数量』を超えた場合は、</t>
    </r>
    <r>
      <rPr>
        <sz val="11"/>
        <color rgb="FFFF0000"/>
        <rFont val="UD デジタル 教科書体 NK-R"/>
        <family val="1"/>
        <charset val="128"/>
      </rPr>
      <t>赤数字</t>
    </r>
    <r>
      <rPr>
        <sz val="11"/>
        <color theme="1"/>
        <rFont val="UD デジタル 教科書体 NK-R"/>
        <family val="1"/>
        <charset val="128"/>
      </rPr>
      <t>の表示となります。</t>
    </r>
    <rPh sb="0" eb="4">
      <t>ニヤクスウリョウ</t>
    </rPh>
    <rPh sb="5" eb="7">
      <t>セツガン</t>
    </rPh>
    <rPh sb="7" eb="12">
      <t>ニヤクキョヨウリョウ</t>
    </rPh>
    <rPh sb="12" eb="13">
      <t>ナイ</t>
    </rPh>
    <rPh sb="18" eb="20">
      <t>スウジ</t>
    </rPh>
    <rPh sb="21" eb="23">
      <t>ヒョウジ</t>
    </rPh>
    <rPh sb="28" eb="30">
      <t>ニヤク</t>
    </rPh>
    <rPh sb="30" eb="33">
      <t>キョヨウリョウ</t>
    </rPh>
    <rPh sb="34" eb="35">
      <t>コ</t>
    </rPh>
    <rPh sb="37" eb="39">
      <t>バアイ</t>
    </rPh>
    <rPh sb="61" eb="63">
      <t>ヒョウジ</t>
    </rPh>
    <rPh sb="72" eb="75">
      <t>キケンブツ</t>
    </rPh>
    <rPh sb="75" eb="77">
      <t>シュベツ</t>
    </rPh>
    <rPh sb="78" eb="81">
      <t>カヤクルイ</t>
    </rPh>
    <rPh sb="82" eb="84">
      <t>バアイ</t>
    </rPh>
    <rPh sb="90" eb="92">
      <t>ニヤク</t>
    </rPh>
    <rPh sb="92" eb="95">
      <t>キョヨウリョウ</t>
    </rPh>
    <rPh sb="95" eb="96">
      <t>ナイ</t>
    </rPh>
    <rPh sb="102" eb="104">
      <t>ゲンソク</t>
    </rPh>
    <rPh sb="116" eb="118">
      <t>ヒツヨウ</t>
    </rPh>
    <rPh sb="119" eb="121">
      <t>スウリョウ</t>
    </rPh>
    <rPh sb="123" eb="124">
      <t>コ</t>
    </rPh>
    <rPh sb="126" eb="128">
      <t>バアイ</t>
    </rPh>
    <phoneticPr fontId="2"/>
  </si>
  <si>
    <t>「要事前相談」となった場合は、時間的に十分な余裕をもって、管轄する海上保安部署に相談してください。</t>
    <rPh sb="1" eb="2">
      <t>ヨウ</t>
    </rPh>
    <rPh sb="2" eb="6">
      <t>ジゼンソウダン</t>
    </rPh>
    <rPh sb="11" eb="13">
      <t>バアイ</t>
    </rPh>
    <rPh sb="15" eb="18">
      <t>ジカンテキ</t>
    </rPh>
    <rPh sb="19" eb="21">
      <t>ジュウブン</t>
    </rPh>
    <rPh sb="22" eb="24">
      <t>ヨユウ</t>
    </rPh>
    <rPh sb="29" eb="31">
      <t>カンカツ</t>
    </rPh>
    <rPh sb="33" eb="39">
      <t>カイジョウホアンブショ</t>
    </rPh>
    <rPh sb="40" eb="42">
      <t>ソウダン</t>
    </rPh>
    <phoneticPr fontId="2"/>
  </si>
  <si>
    <t>港則法に規定する危険物に該当するか否かは本判定表では判定していません。最新の告示は海上保安庁HPで確認してください。</t>
    <rPh sb="0" eb="3">
      <t>コウソクホウ</t>
    </rPh>
    <rPh sb="4" eb="6">
      <t>キテイ</t>
    </rPh>
    <rPh sb="8" eb="11">
      <t>キケンブツ</t>
    </rPh>
    <rPh sb="12" eb="14">
      <t>ガイトウ</t>
    </rPh>
    <rPh sb="17" eb="18">
      <t>イナ</t>
    </rPh>
    <rPh sb="20" eb="21">
      <t>ホン</t>
    </rPh>
    <rPh sb="21" eb="23">
      <t>ハンテイ</t>
    </rPh>
    <rPh sb="23" eb="24">
      <t>ヒョウ</t>
    </rPh>
    <rPh sb="26" eb="28">
      <t>ハンテイ</t>
    </rPh>
    <rPh sb="35" eb="37">
      <t>サイシン</t>
    </rPh>
    <rPh sb="38" eb="40">
      <t>コクジ</t>
    </rPh>
    <rPh sb="41" eb="46">
      <t>カイジョウホアンチョウ</t>
    </rPh>
    <rPh sb="49" eb="51">
      <t>カクニン</t>
    </rPh>
    <phoneticPr fontId="2"/>
  </si>
  <si>
    <t>「事前相談」：</t>
    <rPh sb="1" eb="5">
      <t>ジゼンソウダン</t>
    </rPh>
    <phoneticPr fontId="2"/>
  </si>
  <si>
    <r>
      <t>火薬類等について、関係者等との協議を必要とする荷役数量を超える場合は、荷役許容量内であっても個別判定の隣に「</t>
    </r>
    <r>
      <rPr>
        <sz val="11"/>
        <color rgb="FF0309FB"/>
        <rFont val="UD デジタル 教科書体 NK-R"/>
        <family val="1"/>
        <charset val="128"/>
      </rPr>
      <t>※事前相談</t>
    </r>
    <r>
      <rPr>
        <sz val="11"/>
        <color theme="1"/>
        <rFont val="UD デジタル 教科書体 NK-R"/>
        <family val="1"/>
        <charset val="128"/>
      </rPr>
      <t>」が青文字で表示されます。</t>
    </r>
    <rPh sb="0" eb="3">
      <t>カヤクルイ</t>
    </rPh>
    <rPh sb="3" eb="4">
      <t>トウ</t>
    </rPh>
    <rPh sb="9" eb="13">
      <t>カンケイシャトウ</t>
    </rPh>
    <rPh sb="15" eb="17">
      <t>キョウギ</t>
    </rPh>
    <rPh sb="23" eb="25">
      <t>ニヤク</t>
    </rPh>
    <rPh sb="35" eb="37">
      <t>ニヤク</t>
    </rPh>
    <rPh sb="37" eb="40">
      <t>キョヨウリョウ</t>
    </rPh>
    <rPh sb="40" eb="41">
      <t>ナイ</t>
    </rPh>
    <rPh sb="46" eb="48">
      <t>コベツ</t>
    </rPh>
    <rPh sb="48" eb="50">
      <t>ハンテイ</t>
    </rPh>
    <rPh sb="51" eb="52">
      <t>トナリ</t>
    </rPh>
    <rPh sb="55" eb="59">
      <t>ジゼンソウダン</t>
    </rPh>
    <rPh sb="61" eb="62">
      <t>アオ</t>
    </rPh>
    <rPh sb="62" eb="64">
      <t>モジ</t>
    </rPh>
    <rPh sb="65" eb="67">
      <t>ヒョウジ</t>
    </rPh>
    <phoneticPr fontId="2"/>
  </si>
  <si>
    <r>
      <t>「要事前相談」又は「許容量内」の場合で関係者等との事前協議等が必要の場合には、総合判定右側に「</t>
    </r>
    <r>
      <rPr>
        <sz val="11"/>
        <color rgb="FF0309FB"/>
        <rFont val="UD デジタル 教科書体 NK-R"/>
        <family val="1"/>
        <charset val="128"/>
      </rPr>
      <t>※事前相談</t>
    </r>
    <r>
      <rPr>
        <sz val="11"/>
        <color theme="1"/>
        <rFont val="UD デジタル 教科書体 NK-R"/>
        <family val="1"/>
        <charset val="128"/>
      </rPr>
      <t>」が表示されますが、総合判定で許容量超過の場合は「</t>
    </r>
    <r>
      <rPr>
        <sz val="11"/>
        <color rgb="FF0309FB"/>
        <rFont val="UD デジタル 教科書体 NK-R"/>
        <family val="1"/>
        <charset val="128"/>
      </rPr>
      <t>※事前相談</t>
    </r>
    <r>
      <rPr>
        <sz val="11"/>
        <color theme="1"/>
        <rFont val="UD デジタル 教科書体 NK-R"/>
        <family val="1"/>
        <charset val="128"/>
      </rPr>
      <t>」は表示されません。</t>
    </r>
    <rPh sb="1" eb="6">
      <t>ヨウジゼンソウダン</t>
    </rPh>
    <rPh sb="10" eb="14">
      <t>キョヨウリョウナイ</t>
    </rPh>
    <rPh sb="19" eb="23">
      <t>カンケイシャトウ</t>
    </rPh>
    <rPh sb="25" eb="29">
      <t>ジゼンキョウギ</t>
    </rPh>
    <rPh sb="48" eb="52">
      <t>ジゼンソウダン</t>
    </rPh>
    <rPh sb="78" eb="82">
      <t>ジゼンソウダン</t>
    </rPh>
    <phoneticPr fontId="2"/>
  </si>
  <si>
    <r>
      <t>放射性物質については、荷役許容量が「０」の荷役不可の岸壁種別と所謂「特別荷役」で対応する岸壁種別があり、荷役許容量の設定がないことから本判定表での許容量計算ができませんので、入力値があった場合には「要事前相談」の判定とし、その下部に「</t>
    </r>
    <r>
      <rPr>
        <sz val="11"/>
        <color rgb="FFFF0000"/>
        <rFont val="UD デジタル 教科書体 NK-R"/>
        <family val="1"/>
        <charset val="128"/>
      </rPr>
      <t>※放射性物質等荷役</t>
    </r>
    <r>
      <rPr>
        <sz val="11"/>
        <color theme="1"/>
        <rFont val="UD デジタル 教科書体 NK-R"/>
        <family val="1"/>
        <charset val="128"/>
      </rPr>
      <t>」と表示しています。</t>
    </r>
    <rPh sb="99" eb="104">
      <t>ヨウジゼンソウダン</t>
    </rPh>
    <phoneticPr fontId="2"/>
  </si>
  <si>
    <t>放射性物質に入力値があると「要事前相談」判定が優先され、その他の危険物については判定されませんので注意願います。なお、放射性物質の荷役数量を入力した場合、判定表の計算上わずかな数値を割り振っていますので、その他の危険物について荷役許容量の上限値を入力した場合は、荷役量超過となり「許容量超過」の判定がされますが、放射性物質の荷役数量を削除することでその他の危険物の荷役可否総合判定をすることができます。</t>
    <rPh sb="14" eb="15">
      <t>ヨウ</t>
    </rPh>
    <rPh sb="15" eb="19">
      <t>ジゼンソウダン</t>
    </rPh>
    <rPh sb="65" eb="67">
      <t>ニヤク</t>
    </rPh>
    <rPh sb="67" eb="69">
      <t>スウリョウ</t>
    </rPh>
    <rPh sb="74" eb="76">
      <t>バアイ</t>
    </rPh>
    <rPh sb="77" eb="80">
      <t>ハンテイヒョウ</t>
    </rPh>
    <rPh sb="81" eb="84">
      <t>ケイサンジョウ</t>
    </rPh>
    <rPh sb="88" eb="90">
      <t>スウチ</t>
    </rPh>
    <rPh sb="91" eb="92">
      <t>ワ</t>
    </rPh>
    <rPh sb="93" eb="94">
      <t>フ</t>
    </rPh>
    <rPh sb="104" eb="105">
      <t>タ</t>
    </rPh>
    <rPh sb="106" eb="109">
      <t>キケンブツ</t>
    </rPh>
    <rPh sb="113" eb="115">
      <t>ニヤク</t>
    </rPh>
    <rPh sb="115" eb="118">
      <t>キョヨウリョウ</t>
    </rPh>
    <rPh sb="119" eb="122">
      <t>ジョウゲンチ</t>
    </rPh>
    <rPh sb="123" eb="125">
      <t>ニュウリョク</t>
    </rPh>
    <rPh sb="127" eb="129">
      <t>バアイ</t>
    </rPh>
    <rPh sb="131" eb="136">
      <t>ニヤクリョウチョウカ</t>
    </rPh>
    <rPh sb="140" eb="145">
      <t>キョヨウリョウチョウカ</t>
    </rPh>
    <rPh sb="147" eb="149">
      <t>ハンテイ</t>
    </rPh>
    <rPh sb="156" eb="161">
      <t>ホウシャセイブッシツ</t>
    </rPh>
    <rPh sb="162" eb="166">
      <t>ニヤクスウリョウ</t>
    </rPh>
    <rPh sb="182" eb="186">
      <t>ニヤクカヒ</t>
    </rPh>
    <phoneticPr fontId="2"/>
  </si>
  <si>
    <t>③</t>
    <phoneticPr fontId="2"/>
  </si>
  <si>
    <t>放射性物質等の荷役であるため、事前相談が必要</t>
    <rPh sb="5" eb="6">
      <t>トウ</t>
    </rPh>
    <rPh sb="7" eb="9">
      <t>ニヤク</t>
    </rPh>
    <rPh sb="15" eb="19">
      <t>ジゼンソウダン</t>
    </rPh>
    <rPh sb="20" eb="22">
      <t>ヒツヨウ</t>
    </rPh>
    <phoneticPr fontId="2"/>
  </si>
  <si>
    <t>通過危険物については、錨泊時は無制限となるため、係留施設において、危険物を開放された場所に積載している場合、船倉又は区画を開放する場合（開放）と開放しない場合（非開放）での判定に対応しています。</t>
    <rPh sb="0" eb="5">
      <t>ツウカキケンブツ</t>
    </rPh>
    <rPh sb="11" eb="14">
      <t>ビョウハクジ</t>
    </rPh>
    <rPh sb="15" eb="18">
      <t>ムセイゲン</t>
    </rPh>
    <rPh sb="24" eb="28">
      <t>ケイリュウシセツ</t>
    </rPh>
    <rPh sb="33" eb="36">
      <t>キケンブツ</t>
    </rPh>
    <rPh sb="37" eb="39">
      <t>カイホウ</t>
    </rPh>
    <rPh sb="42" eb="44">
      <t>バショ</t>
    </rPh>
    <rPh sb="45" eb="47">
      <t>セキサイ</t>
    </rPh>
    <rPh sb="51" eb="53">
      <t>バアイ</t>
    </rPh>
    <rPh sb="54" eb="56">
      <t>センソウ</t>
    </rPh>
    <rPh sb="56" eb="57">
      <t>マタ</t>
    </rPh>
    <rPh sb="58" eb="60">
      <t>クカク</t>
    </rPh>
    <rPh sb="61" eb="63">
      <t>カイホウ</t>
    </rPh>
    <rPh sb="65" eb="67">
      <t>バアイ</t>
    </rPh>
    <rPh sb="68" eb="70">
      <t>カイホウ</t>
    </rPh>
    <rPh sb="72" eb="74">
      <t>カイホウ</t>
    </rPh>
    <rPh sb="77" eb="79">
      <t>バアイ</t>
    </rPh>
    <rPh sb="80" eb="81">
      <t>ヒ</t>
    </rPh>
    <rPh sb="81" eb="83">
      <t>カイホウ</t>
    </rPh>
    <rPh sb="86" eb="88">
      <t>ハンテイ</t>
    </rPh>
    <rPh sb="89" eb="91">
      <t>タイオウ</t>
    </rPh>
    <phoneticPr fontId="2"/>
  </si>
  <si>
    <t>その他不明な点があれば、管轄する海上保安部署交通課航行安全係または航行安全課海務係にお問合せください。</t>
    <rPh sb="2" eb="3">
      <t>タ</t>
    </rPh>
    <rPh sb="3" eb="5">
      <t>フメイ</t>
    </rPh>
    <rPh sb="6" eb="7">
      <t>テン</t>
    </rPh>
    <rPh sb="12" eb="14">
      <t>カンカツ</t>
    </rPh>
    <rPh sb="16" eb="21">
      <t>カイジョウホアンブ</t>
    </rPh>
    <rPh sb="21" eb="22">
      <t>ショ</t>
    </rPh>
    <rPh sb="22" eb="25">
      <t>コウツウカ</t>
    </rPh>
    <rPh sb="25" eb="30">
      <t>コウコウアンゼンカカリ</t>
    </rPh>
    <rPh sb="33" eb="38">
      <t>コウコウアンゼンカ</t>
    </rPh>
    <rPh sb="38" eb="40">
      <t>カイム</t>
    </rPh>
    <rPh sb="40" eb="41">
      <t>カカリ</t>
    </rPh>
    <rPh sb="43" eb="45">
      <t>トイアワ</t>
    </rPh>
    <phoneticPr fontId="2"/>
  </si>
  <si>
    <t>【免責及びその他】</t>
    <rPh sb="1" eb="3">
      <t>メンセキ</t>
    </rPh>
    <rPh sb="3" eb="4">
      <t>オヨ</t>
    </rPh>
    <rPh sb="7" eb="8">
      <t>タ</t>
    </rPh>
    <phoneticPr fontId="2"/>
  </si>
  <si>
    <t>本判定表は紙面申請時における危険物荷役の申請可否の簡易判定にお使いください。</t>
    <rPh sb="0" eb="1">
      <t>ホン</t>
    </rPh>
    <rPh sb="1" eb="4">
      <t>ハンテイヒョウ</t>
    </rPh>
    <rPh sb="5" eb="7">
      <t>シメン</t>
    </rPh>
    <rPh sb="7" eb="10">
      <t>シンセイジ</t>
    </rPh>
    <rPh sb="14" eb="17">
      <t>キケンブツ</t>
    </rPh>
    <rPh sb="17" eb="19">
      <t>ニヤク</t>
    </rPh>
    <rPh sb="20" eb="22">
      <t>シンセイ</t>
    </rPh>
    <rPh sb="22" eb="24">
      <t>カヒ</t>
    </rPh>
    <rPh sb="25" eb="27">
      <t>カンイ</t>
    </rPh>
    <rPh sb="27" eb="29">
      <t>ハンテイ</t>
    </rPh>
    <rPh sb="31" eb="32">
      <t>ツカ</t>
    </rPh>
    <phoneticPr fontId="2"/>
  </si>
  <si>
    <t>⑤</t>
    <phoneticPr fontId="2"/>
  </si>
  <si>
    <r>
      <t>【重要】</t>
    </r>
    <r>
      <rPr>
        <sz val="11"/>
        <color rgb="FFFF0000"/>
        <rFont val="UD デジタル 教科書体 NK-R"/>
        <family val="1"/>
        <charset val="128"/>
      </rPr>
      <t>本シートの使用により損害が生じることがあっても、海上保安庁及び港長は責任を負いません。</t>
    </r>
    <rPh sb="1" eb="3">
      <t>ジュウヨウ</t>
    </rPh>
    <rPh sb="28" eb="32">
      <t>カイジョウホアン</t>
    </rPh>
    <rPh sb="33" eb="34">
      <t>オヨ</t>
    </rPh>
    <rPh sb="35" eb="37">
      <t>コウチョウ</t>
    </rPh>
    <rPh sb="41" eb="42">
      <t>オ</t>
    </rPh>
    <phoneticPr fontId="2"/>
  </si>
  <si>
    <t>②</t>
    <phoneticPr fontId="2"/>
  </si>
  <si>
    <t>③</t>
    <phoneticPr fontId="2"/>
  </si>
  <si>
    <t>④</t>
    <phoneticPr fontId="2"/>
  </si>
  <si>
    <t>⑥</t>
    <phoneticPr fontId="2"/>
  </si>
  <si>
    <t>本判定表で荷役許容量内の判定であっても窓口申請時における許可を保証するものではありません。</t>
    <rPh sb="0" eb="1">
      <t>ホン</t>
    </rPh>
    <rPh sb="1" eb="3">
      <t>ハンテイ</t>
    </rPh>
    <rPh sb="3" eb="4">
      <t>ヒョウ</t>
    </rPh>
    <rPh sb="5" eb="10">
      <t>ニヤクキョヨウリョウ</t>
    </rPh>
    <rPh sb="10" eb="11">
      <t>ナイ</t>
    </rPh>
    <rPh sb="12" eb="14">
      <t>ハンテイ</t>
    </rPh>
    <rPh sb="19" eb="21">
      <t>マドグチ</t>
    </rPh>
    <rPh sb="21" eb="24">
      <t>シンセイジ</t>
    </rPh>
    <rPh sb="28" eb="30">
      <t>キョカ</t>
    </rPh>
    <rPh sb="31" eb="33">
      <t>ホショウ</t>
    </rPh>
    <phoneticPr fontId="2"/>
  </si>
  <si>
    <t>2023/9/25　1015</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</si>
</sst>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
    <numFmt numFmtId="177" formatCode="#,##0_ "/>
    <numFmt numFmtId="178" formatCode="#,##0.000_ "/>
  </numFmts>
  <fonts count="58" x14ac:knownFonts="1">
    <font>
      <sz val="11"/>
      <color theme="1"/>
      <name val="游ゴシック"/>
      <family val="2"/>
      <charset val="128"/>
      <scheme val="minor"/>
    </font>
    <font>
      <b/>
      <sz val="11"/>
      <color rgb="FFFA7D00"/>
      <name val="游ゴシック"/>
      <family val="2"/>
      <charset val="128"/>
      <scheme val="minor"/>
    </font>
    <font>
      <sz val="6"/>
      <name val="游ゴシック"/>
      <family val="2"/>
      <charset val="128"/>
      <scheme val="minor"/>
    </font>
    <font>
      <sz val="11"/>
      <color theme="1"/>
      <name val="UD デジタル 教科書体 NK-R"/>
      <family val="1"/>
      <charset val="128"/>
    </font>
    <font>
      <sz val="10"/>
      <color theme="1"/>
      <name val="UD デジタル 教科書体 NK-R"/>
      <family val="1"/>
      <charset val="128"/>
    </font>
    <font>
      <sz val="9"/>
      <color theme="1"/>
      <name val="UD デジタル 教科書体 NK-R"/>
      <family val="1"/>
      <charset val="128"/>
    </font>
    <font>
      <sz val="8"/>
      <color theme="1"/>
      <name val="UD デジタル 教科書体 NK-R"/>
      <family val="1"/>
      <charset val="128"/>
    </font>
    <font>
      <b/>
      <sz val="9"/>
      <color rgb="FFFA7D00"/>
      <name val="UD デジタル 教科書体 NK-R"/>
      <family val="1"/>
      <charset val="128"/>
    </font>
    <font>
      <sz val="9"/>
      <name val="UD デジタル 教科書体 NK-R"/>
      <family val="1"/>
      <charset val="128"/>
    </font>
    <font>
      <sz val="11"/>
      <name val="游ゴシック"/>
      <family val="2"/>
      <charset val="128"/>
      <scheme val="minor"/>
    </font>
    <font>
      <sz val="11"/>
      <name val="UD デジタル 教科書体 NK-R"/>
      <family val="1"/>
      <charset val="128"/>
    </font>
    <font>
      <b/>
      <sz val="10"/>
      <color rgb="FFFF0000"/>
      <name val="UD デジタル 教科書体 NK-R"/>
      <family val="1"/>
      <charset val="128"/>
    </font>
    <font>
      <u/>
      <sz val="11"/>
      <color theme="10"/>
      <name val="游ゴシック"/>
      <family val="2"/>
      <charset val="128"/>
      <scheme val="minor"/>
    </font>
    <font>
      <u/>
      <sz val="10.5"/>
      <color rgb="FFFF0000"/>
      <name val="UD デジタル 教科書体 NK-B"/>
      <family val="1"/>
      <charset val="128"/>
    </font>
    <font>
      <b/>
      <sz val="10"/>
      <name val="UD デジタル 教科書体 NK-R"/>
      <family val="1"/>
      <charset val="128"/>
    </font>
    <font>
      <sz val="10.5"/>
      <name val="UD デジタル 教科書体 NK-B"/>
      <family val="1"/>
      <charset val="128"/>
    </font>
    <font>
      <sz val="11"/>
      <color theme="0" tint="-0.34998626667073579"/>
      <name val="UD デジタル 教科書体 NK-B"/>
      <family val="1"/>
      <charset val="128"/>
    </font>
    <font>
      <sz val="22"/>
      <color theme="0" tint="-0.34998626667073579"/>
      <name val="UD デジタル 教科書体 NK-B"/>
      <family val="1"/>
      <charset val="128"/>
    </font>
    <font>
      <b/>
      <sz val="9"/>
      <color theme="0" tint="-0.34998626667073579"/>
      <name val="UD デジタル 教科書体 NK-B"/>
      <family val="1"/>
      <charset val="128"/>
    </font>
    <font>
      <sz val="10"/>
      <color theme="0" tint="-0.34998626667073579"/>
      <name val="UD デジタル 教科書体 NK-B"/>
      <family val="1"/>
      <charset val="128"/>
    </font>
    <font>
      <sz val="16"/>
      <color theme="1"/>
      <name val="UD デジタル 教科書体 NK-R"/>
      <family val="1"/>
      <charset val="128"/>
    </font>
    <font>
      <sz val="18"/>
      <color theme="1"/>
      <name val="UD デジタル 教科書体 NK-B"/>
      <family val="1"/>
      <charset val="128"/>
    </font>
    <font>
      <sz val="11"/>
      <name val="UD デジタル 教科書体 NK-B"/>
      <family val="1"/>
      <charset val="128"/>
    </font>
    <font>
      <sz val="10"/>
      <name val="UD デジタル 教科書体 NK-R"/>
      <family val="1"/>
      <charset val="128"/>
    </font>
    <font>
      <b/>
      <sz val="8"/>
      <color rgb="FFFA7D00"/>
      <name val="UD デジタル 教科書体 NK-R"/>
      <family val="1"/>
      <charset val="128"/>
    </font>
    <font>
      <sz val="16"/>
      <color theme="1"/>
      <name val="游ゴシック"/>
      <family val="2"/>
      <charset val="128"/>
      <scheme val="minor"/>
    </font>
    <font>
      <sz val="16"/>
      <color theme="1"/>
      <name val="游ゴシック"/>
      <family val="3"/>
      <charset val="128"/>
      <scheme val="minor"/>
    </font>
    <font>
      <sz val="11"/>
      <color theme="0" tint="-0.34998626667073579"/>
      <name val="UD デジタル 教科書体 NK-R"/>
      <family val="1"/>
      <charset val="128"/>
    </font>
    <font>
      <b/>
      <sz val="9"/>
      <color theme="0" tint="-0.34998626667073579"/>
      <name val="UD デジタル 教科書体 NK-R"/>
      <family val="1"/>
      <charset val="128"/>
    </font>
    <font>
      <sz val="11"/>
      <color theme="0" tint="-0.34998626667073579"/>
      <name val="游ゴシック"/>
      <family val="2"/>
      <charset val="128"/>
      <scheme val="minor"/>
    </font>
    <font>
      <sz val="10"/>
      <color theme="0" tint="-0.34998626667073579"/>
      <name val="UD デジタル 教科書体 NK-R"/>
      <family val="1"/>
      <charset val="128"/>
    </font>
    <font>
      <sz val="22"/>
      <color theme="0" tint="-0.34998626667073579"/>
      <name val="UD デジタル 教科書体 N-B"/>
      <family val="1"/>
      <charset val="128"/>
    </font>
    <font>
      <b/>
      <sz val="10"/>
      <color theme="0" tint="-0.34998626667073579"/>
      <name val="UD デジタル 教科書体 NK-R"/>
      <family val="1"/>
      <charset val="128"/>
    </font>
    <font>
      <b/>
      <sz val="10"/>
      <color rgb="FFFA7D00"/>
      <name val="UD デジタル 教科書体 NK-R"/>
      <family val="1"/>
      <charset val="128"/>
    </font>
    <font>
      <sz val="22"/>
      <name val="UD デジタル 教科書体 NK-B"/>
      <family val="1"/>
      <charset val="128"/>
    </font>
    <font>
      <sz val="22"/>
      <name val="UD デジタル 教科書体 N-B"/>
      <family val="1"/>
      <charset val="128"/>
    </font>
    <font>
      <sz val="22"/>
      <name val="UD デジタル 教科書体 NK-R"/>
      <family val="1"/>
      <charset val="128"/>
    </font>
    <font>
      <b/>
      <sz val="9"/>
      <name val="UD デジタル 教科書体 NK-B"/>
      <family val="1"/>
      <charset val="128"/>
    </font>
    <font>
      <sz val="9"/>
      <name val="UD デジタル 教科書体 NK-B"/>
      <family val="1"/>
      <charset val="128"/>
    </font>
    <font>
      <sz val="10"/>
      <name val="UD デジタル 教科書体 NK-B"/>
      <family val="1"/>
      <charset val="128"/>
    </font>
    <font>
      <sz val="16"/>
      <name val="UD デジタル 教科書体 N-B"/>
      <family val="1"/>
      <charset val="128"/>
    </font>
    <font>
      <sz val="16"/>
      <color theme="0" tint="-0.34998626667073579"/>
      <name val="UD デジタル 教科書体 N-B"/>
      <family val="1"/>
      <charset val="128"/>
    </font>
    <font>
      <sz val="11"/>
      <color theme="0" tint="-0.34998626667073579"/>
      <name val="UD デジタル 教科書体 N-B"/>
      <family val="1"/>
      <charset val="128"/>
    </font>
    <font>
      <sz val="10.5"/>
      <color theme="0" tint="-0.34998626667073579"/>
      <name val="UD デジタル 教科書体 NK-B"/>
      <family val="1"/>
      <charset val="128"/>
    </font>
    <font>
      <sz val="9"/>
      <color rgb="FFFF0000"/>
      <name val="UD デジタル 教科書体 N-B"/>
      <family val="1"/>
      <charset val="128"/>
    </font>
    <font>
      <sz val="11"/>
      <color rgb="FFFF0000"/>
      <name val="UD デジタル 教科書体 NK-R"/>
      <family val="1"/>
      <charset val="128"/>
    </font>
    <font>
      <sz val="11"/>
      <color rgb="FF0309FB"/>
      <name val="UD デジタル 教科書体 NK-R"/>
      <family val="1"/>
      <charset val="128"/>
    </font>
    <font>
      <sz val="10"/>
      <color rgb="FF0309FB"/>
      <name val="UD デジタル 教科書体 N-B"/>
      <family val="1"/>
      <charset val="128"/>
    </font>
    <font>
      <sz val="12"/>
      <name val="UD デジタル 教科書体 NK-B"/>
      <family val="1"/>
      <charset val="128"/>
    </font>
    <font>
      <sz val="14"/>
      <name val="UD デジタル 教科書体 NK-B"/>
      <family val="1"/>
      <charset val="128"/>
    </font>
    <font>
      <b/>
      <sz val="9"/>
      <name val="UD デジタル 教科書体 NK-R"/>
      <family val="1"/>
      <charset val="128"/>
    </font>
    <font>
      <sz val="8"/>
      <name val="UD デジタル 教科書体 NK-R"/>
      <family val="1"/>
      <charset val="128"/>
    </font>
    <font>
      <b/>
      <sz val="10"/>
      <name val="UD デジタル 教科書体 NK-B"/>
      <family val="1"/>
      <charset val="128"/>
    </font>
    <font>
      <sz val="10"/>
      <color rgb="FFFF0000"/>
      <name val="UD デジタル 教科書体 N-B"/>
      <family val="1"/>
      <charset val="128"/>
    </font>
    <font>
      <b/>
      <sz val="18"/>
      <color rgb="FFFF0000"/>
      <name val="UD デジタル 教科書体 N-B"/>
      <family val="1"/>
      <charset val="128"/>
    </font>
    <font>
      <sz val="9"/>
      <color theme="0" tint="-0.34998626667073579"/>
      <name val="UD デジタル 教科書体 NK-B"/>
      <family val="1"/>
      <charset val="128"/>
    </font>
    <font>
      <b/>
      <sz val="9"/>
      <color rgb="FFFA7D00"/>
      <name val="Meiryo UI"/>
      <family val="3"/>
      <charset val="128"/>
    </font>
    <font>
      <sz val="22"/>
      <name val="Meiryo UI"/>
      <family val="3"/>
      <charset val="128"/>
    </font>
  </fonts>
  <fills count="8">
    <fill>
      <patternFill patternType="none"/>
    </fill>
    <fill>
      <patternFill patternType="gray125"/>
    </fill>
    <fill>
      <patternFill patternType="solid">
        <fgColor rgb="FFF2F2F2"/>
      </patternFill>
    </fill>
    <fill>
      <patternFill patternType="solid">
        <fgColor theme="4" tint="0.79998168889431442"/>
        <bgColor indexed="64"/>
      </patternFill>
    </fill>
    <fill>
      <patternFill patternType="solid">
        <fgColor theme="0"/>
        <bgColor indexed="64"/>
      </patternFill>
    </fill>
    <fill>
      <patternFill patternType="solid">
        <fgColor rgb="FFF4F8DC"/>
        <bgColor indexed="64"/>
      </patternFill>
    </fill>
    <fill>
      <patternFill patternType="solid">
        <fgColor theme="6" tint="0.79998168889431442"/>
        <bgColor indexed="64"/>
      </patternFill>
    </fill>
    <fill>
      <patternFill patternType="solid">
        <fgColor theme="0" tint="-4.9989318521683403E-2"/>
        <bgColor indexed="64"/>
      </patternFill>
    </fill>
  </fills>
  <borders count="15">
    <border>
      <left/>
      <right/>
      <top/>
      <bottom/>
      <diagonal/>
    </border>
    <border>
      <left style="thin">
        <color rgb="FF7F7F7F"/>
      </left>
      <right style="thin">
        <color rgb="FF7F7F7F"/>
      </right>
      <top style="thin">
        <color rgb="FF7F7F7F"/>
      </top>
      <bottom style="thin">
        <color rgb="FF7F7F7F"/>
      </bottom>
      <diagonal/>
    </border>
    <border>
      <left style="double">
        <color rgb="FFFF0000"/>
      </left>
      <right style="double">
        <color rgb="FFFF0000"/>
      </right>
      <top style="double">
        <color rgb="FFFF0000"/>
      </top>
      <bottom style="double">
        <color rgb="FFFF0000"/>
      </bottom>
      <diagonal/>
    </border>
    <border>
      <left style="thin">
        <color rgb="FF7F7F7F"/>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double">
        <color rgb="FFFF0000"/>
      </left>
      <right/>
      <top/>
      <bottom/>
      <diagonal/>
    </border>
    <border>
      <left style="thin">
        <color rgb="FF7F7F7F"/>
      </left>
      <right style="thin">
        <color rgb="FF7F7F7F"/>
      </right>
      <top/>
      <bottom style="thin">
        <color rgb="FF7F7F7F"/>
      </bottom>
      <diagonal/>
    </border>
    <border>
      <left/>
      <right style="thin">
        <color rgb="FF7F7F7F"/>
      </right>
      <top style="thin">
        <color rgb="FF7F7F7F"/>
      </top>
      <bottom style="thin">
        <color rgb="FF7F7F7F"/>
      </bottom>
      <diagonal/>
    </border>
    <border>
      <left style="thin">
        <color rgb="FF7F7F7F"/>
      </left>
      <right/>
      <top style="thin">
        <color rgb="FF7F7F7F"/>
      </top>
      <bottom/>
      <diagonal/>
    </border>
    <border>
      <left style="thin">
        <color rgb="FF7F7F7F"/>
      </left>
      <right style="thin">
        <color rgb="FF7F7F7F"/>
      </right>
      <top style="thin">
        <color rgb="FF7F7F7F"/>
      </top>
      <bottom/>
      <diagonal/>
    </border>
    <border>
      <left style="thin">
        <color rgb="FF7F7F7F"/>
      </left>
      <right style="thin">
        <color rgb="FF7F7F7F"/>
      </right>
      <top/>
      <bottom/>
      <diagonal/>
    </border>
    <border>
      <left/>
      <right/>
      <top style="thin">
        <color rgb="FF7F7F7F"/>
      </top>
      <bottom/>
      <diagonal/>
    </border>
    <border>
      <left/>
      <right style="thin">
        <color rgb="FF7F7F7F"/>
      </right>
      <top style="thin">
        <color rgb="FF7F7F7F"/>
      </top>
      <bottom/>
      <diagonal/>
    </border>
    <border>
      <left style="thin">
        <color rgb="FF7F7F7F"/>
      </left>
      <right/>
      <top style="thin">
        <color rgb="FF7F7F7F"/>
      </top>
      <bottom style="thin">
        <color rgb="FF7F7F7F"/>
      </bottom>
      <diagonal/>
    </border>
  </borders>
  <cellStyleXfs count="3">
    <xf numFmtId="0" fontId="0" fillId="0" borderId="0">
      <alignment vertical="center"/>
    </xf>
    <xf numFmtId="0" fontId="1" fillId="2" borderId="1" applyNumberFormat="0" applyAlignment="0" applyProtection="0">
      <alignment vertical="center"/>
    </xf>
    <xf numFmtId="0" fontId="12" fillId="0" borderId="0" applyNumberFormat="0" applyFill="0" applyBorder="0" applyAlignment="0" applyProtection="0">
      <alignment vertical="center"/>
    </xf>
  </cellStyleXfs>
  <cellXfs count="171">
    <xf numFmtId="0" fontId="0" fillId="0" borderId="0" xfId="0">
      <alignment vertical="center"/>
    </xf>
    <xf numFmtId="0" fontId="0" fillId="3" borderId="0" xfId="0" applyFill="1" applyProtection="1">
      <alignment vertical="center"/>
      <protection locked="0"/>
    </xf>
    <xf numFmtId="0" fontId="0" fillId="3" borderId="0" xfId="0" applyFill="1" applyAlignment="1" applyProtection="1">
      <alignment horizontal="center" vertical="center"/>
      <protection locked="0"/>
    </xf>
    <xf numFmtId="0" fontId="3" fillId="3" borderId="0" xfId="0" applyFont="1" applyFill="1" applyAlignment="1" applyProtection="1">
      <alignment horizontal="center" vertical="center"/>
      <protection locked="0"/>
    </xf>
    <xf numFmtId="0" fontId="6" fillId="3" borderId="0" xfId="0" applyFont="1" applyFill="1" applyAlignment="1" applyProtection="1">
      <alignment horizontal="center" vertical="center"/>
      <protection locked="0"/>
    </xf>
    <xf numFmtId="0" fontId="8" fillId="3" borderId="0" xfId="0" applyFont="1" applyFill="1" applyAlignment="1" applyProtection="1">
      <alignment horizontal="center" vertical="center"/>
      <protection locked="0"/>
    </xf>
    <xf numFmtId="0" fontId="5" fillId="3" borderId="0" xfId="0" applyFont="1" applyFill="1" applyAlignment="1" applyProtection="1">
      <alignment horizontal="center" vertical="center" wrapText="1"/>
      <protection locked="0"/>
    </xf>
    <xf numFmtId="0" fontId="5" fillId="3" borderId="0" xfId="0" applyFont="1" applyFill="1" applyBorder="1" applyAlignment="1" applyProtection="1">
      <alignment horizontal="center" vertical="center" wrapText="1" shrinkToFit="1"/>
      <protection locked="0"/>
    </xf>
    <xf numFmtId="0" fontId="5" fillId="3" borderId="0" xfId="0" applyFont="1" applyFill="1" applyAlignment="1" applyProtection="1">
      <alignment horizontal="center" vertical="center"/>
      <protection locked="0"/>
    </xf>
    <xf numFmtId="0" fontId="5" fillId="3" borderId="0" xfId="0" applyFont="1" applyFill="1" applyBorder="1" applyAlignment="1" applyProtection="1">
      <alignment horizontal="center" vertical="center" wrapText="1"/>
      <protection locked="0"/>
    </xf>
    <xf numFmtId="0" fontId="10" fillId="3" borderId="0" xfId="0" applyFont="1" applyFill="1" applyAlignment="1" applyProtection="1">
      <alignment horizontal="center" vertical="center"/>
      <protection locked="0"/>
    </xf>
    <xf numFmtId="0" fontId="9" fillId="3" borderId="0" xfId="0" applyFont="1" applyFill="1" applyProtection="1">
      <alignment vertical="center"/>
      <protection locked="0"/>
    </xf>
    <xf numFmtId="0" fontId="16" fillId="3" borderId="0" xfId="0" applyFont="1" applyFill="1" applyAlignment="1" applyProtection="1">
      <alignment horizontal="center" vertical="center"/>
      <protection locked="0"/>
    </xf>
    <xf numFmtId="0" fontId="0" fillId="6" borderId="0" xfId="0" applyFill="1" applyProtection="1">
      <alignment vertical="center"/>
    </xf>
    <xf numFmtId="0" fontId="20" fillId="6" borderId="0" xfId="0" applyFont="1" applyFill="1" applyProtection="1">
      <alignment vertical="center"/>
    </xf>
    <xf numFmtId="0" fontId="4" fillId="6" borderId="0" xfId="0" applyFont="1" applyFill="1" applyProtection="1">
      <alignment vertical="center"/>
    </xf>
    <xf numFmtId="0" fontId="3" fillId="6" borderId="0" xfId="0" applyFont="1" applyFill="1" applyAlignment="1" applyProtection="1">
      <alignment horizontal="right" vertical="center"/>
    </xf>
    <xf numFmtId="0" fontId="3" fillId="6" borderId="0" xfId="0" applyFont="1" applyFill="1" applyProtection="1">
      <alignment vertical="center"/>
    </xf>
    <xf numFmtId="0" fontId="20" fillId="6" borderId="0" xfId="0" applyFont="1" applyFill="1" applyAlignment="1" applyProtection="1">
      <alignment horizontal="left" vertical="center"/>
    </xf>
    <xf numFmtId="0" fontId="3" fillId="6" borderId="0" xfId="0" applyFont="1" applyFill="1" applyAlignment="1" applyProtection="1">
      <alignment horizontal="right" vertical="top"/>
    </xf>
    <xf numFmtId="0" fontId="23" fillId="3" borderId="0" xfId="0" applyFont="1" applyFill="1" applyAlignment="1" applyProtection="1">
      <alignment horizontal="center" vertical="center"/>
      <protection locked="0"/>
    </xf>
    <xf numFmtId="0" fontId="8" fillId="3" borderId="0" xfId="0" applyFont="1" applyFill="1" applyBorder="1" applyAlignment="1" applyProtection="1">
      <alignment horizontal="center" vertical="center" shrinkToFit="1"/>
      <protection locked="0"/>
    </xf>
    <xf numFmtId="0" fontId="8" fillId="3" borderId="0" xfId="0" applyFont="1" applyFill="1" applyBorder="1" applyAlignment="1" applyProtection="1">
      <alignment horizontal="center" vertical="center"/>
      <protection locked="0"/>
    </xf>
    <xf numFmtId="0" fontId="10" fillId="3" borderId="0" xfId="0" applyNumberFormat="1" applyFont="1" applyFill="1" applyAlignment="1" applyProtection="1">
      <alignment horizontal="center" vertical="center"/>
      <protection locked="0"/>
    </xf>
    <xf numFmtId="0" fontId="9" fillId="3" borderId="0" xfId="0" applyNumberFormat="1" applyFont="1" applyFill="1" applyProtection="1">
      <alignment vertical="center"/>
      <protection locked="0"/>
    </xf>
    <xf numFmtId="176" fontId="27" fillId="3" borderId="0" xfId="0" applyNumberFormat="1" applyFont="1" applyFill="1" applyAlignment="1" applyProtection="1">
      <alignment horizontal="center" vertical="center"/>
    </xf>
    <xf numFmtId="176" fontId="29" fillId="3" borderId="0" xfId="0" applyNumberFormat="1" applyFont="1" applyFill="1" applyProtection="1">
      <alignment vertical="center"/>
    </xf>
    <xf numFmtId="176" fontId="29" fillId="3" borderId="0" xfId="0" applyNumberFormat="1" applyFont="1" applyFill="1" applyAlignment="1" applyProtection="1">
      <alignment horizontal="center" vertical="center"/>
    </xf>
    <xf numFmtId="0" fontId="22" fillId="3" borderId="0" xfId="0" applyNumberFormat="1" applyFont="1" applyFill="1" applyAlignment="1" applyProtection="1">
      <alignment horizontal="center" vertical="center"/>
      <protection locked="0"/>
    </xf>
    <xf numFmtId="0" fontId="0" fillId="3" borderId="0" xfId="0" applyNumberFormat="1" applyFill="1" applyProtection="1">
      <alignment vertical="center"/>
      <protection locked="0"/>
    </xf>
    <xf numFmtId="0" fontId="0" fillId="3" borderId="0" xfId="0" applyNumberFormat="1" applyFill="1" applyAlignment="1" applyProtection="1">
      <alignment horizontal="center" vertical="center"/>
      <protection locked="0"/>
    </xf>
    <xf numFmtId="0" fontId="23" fillId="3" borderId="0" xfId="0" applyNumberFormat="1" applyFont="1" applyFill="1" applyAlignment="1" applyProtection="1">
      <alignment horizontal="center" vertical="center"/>
      <protection locked="0"/>
    </xf>
    <xf numFmtId="0" fontId="0" fillId="4" borderId="0" xfId="0" applyFill="1" applyProtection="1">
      <alignment vertical="center"/>
    </xf>
    <xf numFmtId="0" fontId="12" fillId="4" borderId="0" xfId="2" applyFill="1" applyAlignment="1" applyProtection="1">
      <alignment horizontal="right" vertical="center"/>
    </xf>
    <xf numFmtId="0" fontId="0" fillId="0" borderId="0" xfId="0" applyProtection="1">
      <alignment vertical="center"/>
    </xf>
    <xf numFmtId="0" fontId="0" fillId="4" borderId="5" xfId="0" applyFill="1" applyBorder="1" applyProtection="1">
      <alignment vertical="center"/>
    </xf>
    <xf numFmtId="0" fontId="0" fillId="4" borderId="5" xfId="0" applyFill="1" applyBorder="1" applyAlignment="1" applyProtection="1">
      <alignment horizontal="right" vertical="center"/>
    </xf>
    <xf numFmtId="0" fontId="0" fillId="4" borderId="0" xfId="0" applyFill="1" applyAlignment="1" applyProtection="1">
      <alignment horizontal="left" vertical="center"/>
    </xf>
    <xf numFmtId="0" fontId="0" fillId="4" borderId="0" xfId="0" applyFill="1" applyAlignment="1" applyProtection="1">
      <alignment horizontal="center" vertical="center"/>
    </xf>
    <xf numFmtId="0" fontId="0" fillId="0" borderId="0" xfId="0" applyAlignment="1" applyProtection="1">
      <alignment horizontal="left" vertical="center"/>
    </xf>
    <xf numFmtId="0" fontId="8" fillId="3" borderId="0" xfId="0" applyNumberFormat="1" applyFont="1" applyFill="1" applyBorder="1" applyAlignment="1" applyProtection="1">
      <alignment horizontal="center" vertical="center" shrinkToFit="1"/>
      <protection locked="0"/>
    </xf>
    <xf numFmtId="0" fontId="8" fillId="3" borderId="0" xfId="0" applyNumberFormat="1" applyFont="1" applyFill="1" applyBorder="1" applyAlignment="1" applyProtection="1">
      <alignment horizontal="center" vertical="center"/>
      <protection locked="0"/>
    </xf>
    <xf numFmtId="176" fontId="16" fillId="3" borderId="0" xfId="0" applyNumberFormat="1" applyFont="1" applyFill="1" applyAlignment="1" applyProtection="1">
      <alignment horizontal="center" vertical="center"/>
    </xf>
    <xf numFmtId="176" fontId="17" fillId="3" borderId="0" xfId="0" applyNumberFormat="1" applyFont="1" applyFill="1" applyAlignment="1" applyProtection="1">
      <alignment horizontal="center" vertical="center"/>
    </xf>
    <xf numFmtId="176" fontId="17" fillId="3" borderId="0" xfId="0" applyNumberFormat="1" applyFont="1" applyFill="1" applyBorder="1" applyAlignment="1" applyProtection="1">
      <alignment horizontal="center" vertical="center"/>
    </xf>
    <xf numFmtId="176" fontId="32" fillId="3" borderId="0" xfId="1" applyNumberFormat="1" applyFont="1" applyFill="1" applyBorder="1" applyAlignment="1" applyProtection="1">
      <alignment vertical="top" wrapText="1"/>
    </xf>
    <xf numFmtId="176" fontId="19" fillId="3" borderId="0" xfId="0" applyNumberFormat="1" applyFont="1" applyFill="1" applyAlignment="1" applyProtection="1">
      <alignment horizontal="center" vertical="center"/>
    </xf>
    <xf numFmtId="176" fontId="30" fillId="3" borderId="0" xfId="0" applyNumberFormat="1" applyFont="1" applyFill="1" applyAlignment="1" applyProtection="1">
      <alignment horizontal="center" vertical="center"/>
    </xf>
    <xf numFmtId="0" fontId="0" fillId="4" borderId="5" xfId="0" applyFill="1" applyBorder="1" applyAlignment="1" applyProtection="1">
      <alignment horizontal="left" vertical="center"/>
    </xf>
    <xf numFmtId="0" fontId="0" fillId="4" borderId="5" xfId="0" applyFill="1" applyBorder="1" applyAlignment="1" applyProtection="1">
      <alignment horizontal="center" vertical="center"/>
    </xf>
    <xf numFmtId="0" fontId="9" fillId="3" borderId="0" xfId="0" applyNumberFormat="1" applyFont="1" applyFill="1" applyAlignment="1" applyProtection="1">
      <alignment horizontal="center" vertical="center"/>
      <protection locked="0"/>
    </xf>
    <xf numFmtId="0" fontId="22" fillId="3" borderId="0" xfId="0" applyNumberFormat="1" applyFont="1" applyFill="1" applyAlignment="1" applyProtection="1">
      <alignment horizontal="center" vertical="center"/>
    </xf>
    <xf numFmtId="0" fontId="9" fillId="3" borderId="0" xfId="0" applyNumberFormat="1" applyFont="1" applyFill="1" applyProtection="1">
      <alignment vertical="center"/>
    </xf>
    <xf numFmtId="0" fontId="10" fillId="3" borderId="0" xfId="0" applyNumberFormat="1" applyFont="1" applyFill="1" applyAlignment="1" applyProtection="1">
      <alignment horizontal="center" vertical="center"/>
    </xf>
    <xf numFmtId="0" fontId="34" fillId="3" borderId="0" xfId="0" applyNumberFormat="1" applyFont="1" applyFill="1" applyAlignment="1" applyProtection="1">
      <alignment horizontal="center" vertical="center"/>
    </xf>
    <xf numFmtId="0" fontId="35" fillId="3" borderId="0" xfId="0" applyNumberFormat="1" applyFont="1" applyFill="1" applyAlignment="1" applyProtection="1">
      <alignment vertical="center"/>
    </xf>
    <xf numFmtId="0" fontId="36" fillId="3" borderId="0" xfId="0" applyNumberFormat="1" applyFont="1" applyFill="1" applyAlignment="1" applyProtection="1">
      <alignment horizontal="center" vertical="center"/>
    </xf>
    <xf numFmtId="0" fontId="36" fillId="3" borderId="0" xfId="0" applyNumberFormat="1" applyFont="1" applyFill="1" applyAlignment="1" applyProtection="1">
      <alignment horizontal="left" vertical="center"/>
    </xf>
    <xf numFmtId="0" fontId="34" fillId="3" borderId="0" xfId="0" applyNumberFormat="1" applyFont="1" applyFill="1" applyBorder="1" applyAlignment="1" applyProtection="1">
      <alignment horizontal="center" vertical="center"/>
    </xf>
    <xf numFmtId="0" fontId="35" fillId="3" borderId="0" xfId="0" applyNumberFormat="1" applyFont="1" applyFill="1" applyAlignment="1" applyProtection="1">
      <alignment horizontal="left" vertical="center"/>
    </xf>
    <xf numFmtId="0" fontId="37" fillId="3" borderId="0" xfId="1" applyNumberFormat="1" applyFont="1" applyFill="1" applyBorder="1" applyAlignment="1" applyProtection="1">
      <alignment horizontal="center" vertical="center"/>
    </xf>
    <xf numFmtId="0" fontId="8" fillId="3" borderId="0" xfId="0" applyNumberFormat="1" applyFont="1" applyFill="1" applyAlignment="1" applyProtection="1">
      <alignment horizontal="left" vertical="center"/>
    </xf>
    <xf numFmtId="0" fontId="8" fillId="3" borderId="0" xfId="0" applyNumberFormat="1" applyFont="1" applyFill="1" applyAlignment="1" applyProtection="1">
      <alignment horizontal="center" vertical="center"/>
    </xf>
    <xf numFmtId="0" fontId="38" fillId="3" borderId="0" xfId="1" applyNumberFormat="1" applyFont="1" applyFill="1" applyBorder="1" applyAlignment="1" applyProtection="1">
      <alignment horizontal="center" vertical="center" wrapText="1"/>
    </xf>
    <xf numFmtId="0" fontId="37" fillId="3" borderId="0" xfId="1" applyNumberFormat="1" applyFont="1" applyFill="1" applyBorder="1" applyAlignment="1" applyProtection="1">
      <alignment horizontal="center" vertical="center" wrapText="1"/>
    </xf>
    <xf numFmtId="0" fontId="9" fillId="3" borderId="0" xfId="0" applyNumberFormat="1" applyFont="1" applyFill="1" applyAlignment="1" applyProtection="1">
      <alignment horizontal="center" vertical="center"/>
    </xf>
    <xf numFmtId="0" fontId="14" fillId="3" borderId="0" xfId="1" applyNumberFormat="1" applyFont="1" applyFill="1" applyBorder="1" applyAlignment="1" applyProtection="1">
      <alignment vertical="top" wrapText="1"/>
    </xf>
    <xf numFmtId="0" fontId="39" fillId="3" borderId="0" xfId="0" applyNumberFormat="1" applyFont="1" applyFill="1" applyAlignment="1" applyProtection="1">
      <alignment horizontal="center" vertical="center"/>
    </xf>
    <xf numFmtId="0" fontId="23" fillId="3" borderId="0" xfId="0" applyNumberFormat="1" applyFont="1" applyFill="1" applyProtection="1">
      <alignment vertical="center"/>
    </xf>
    <xf numFmtId="0" fontId="23" fillId="3" borderId="0" xfId="0" applyNumberFormat="1" applyFont="1" applyFill="1" applyAlignment="1" applyProtection="1">
      <alignment horizontal="center" vertical="center"/>
    </xf>
    <xf numFmtId="0" fontId="7" fillId="2" borderId="1" xfId="1" applyNumberFormat="1" applyFont="1" applyAlignment="1" applyProtection="1">
      <alignment horizontal="center" vertical="center"/>
    </xf>
    <xf numFmtId="0" fontId="7" fillId="2" borderId="1" xfId="1" applyNumberFormat="1" applyFont="1" applyAlignment="1" applyProtection="1">
      <alignment horizontal="distributed" vertical="center"/>
    </xf>
    <xf numFmtId="0" fontId="24" fillId="2" borderId="1" xfId="1" applyNumberFormat="1" applyFont="1" applyAlignment="1" applyProtection="1">
      <alignment horizontal="distributed" vertical="center" wrapText="1"/>
    </xf>
    <xf numFmtId="0" fontId="33" fillId="7" borderId="7" xfId="0" applyNumberFormat="1" applyFont="1" applyFill="1" applyBorder="1" applyAlignment="1" applyProtection="1">
      <alignment horizontal="center" vertical="center"/>
    </xf>
    <xf numFmtId="0" fontId="7" fillId="2" borderId="7" xfId="1" applyNumberFormat="1" applyFont="1" applyBorder="1" applyAlignment="1" applyProtection="1">
      <alignment horizontal="distributed" vertical="center"/>
    </xf>
    <xf numFmtId="0" fontId="7" fillId="2" borderId="1" xfId="1" applyNumberFormat="1" applyFont="1" applyAlignment="1" applyProtection="1">
      <alignment horizontal="distributed" vertical="center" wrapText="1"/>
    </xf>
    <xf numFmtId="0" fontId="33" fillId="7" borderId="1" xfId="0" applyNumberFormat="1" applyFont="1" applyFill="1" applyBorder="1" applyAlignment="1" applyProtection="1">
      <alignment horizontal="center" vertical="center"/>
    </xf>
    <xf numFmtId="0" fontId="14" fillId="3" borderId="0" xfId="0" applyNumberFormat="1" applyFont="1" applyFill="1" applyAlignment="1" applyProtection="1">
      <alignment horizontal="right" vertical="center"/>
    </xf>
    <xf numFmtId="0" fontId="29" fillId="3" borderId="0" xfId="0" applyNumberFormat="1" applyFont="1" applyFill="1" applyAlignment="1" applyProtection="1">
      <alignment horizontal="center" vertical="center"/>
    </xf>
    <xf numFmtId="0" fontId="14" fillId="3" borderId="0" xfId="0" applyNumberFormat="1" applyFont="1" applyFill="1" applyAlignment="1" applyProtection="1">
      <alignment horizontal="right" vertical="top"/>
    </xf>
    <xf numFmtId="0" fontId="29" fillId="3" borderId="0" xfId="0" applyNumberFormat="1" applyFont="1" applyFill="1" applyProtection="1">
      <alignment vertical="center"/>
    </xf>
    <xf numFmtId="0" fontId="35" fillId="3" borderId="0" xfId="0" applyNumberFormat="1" applyFont="1" applyFill="1" applyAlignment="1" applyProtection="1">
      <alignment horizontal="center" vertical="center"/>
    </xf>
    <xf numFmtId="0" fontId="40" fillId="3" borderId="0" xfId="0" applyNumberFormat="1" applyFont="1" applyFill="1" applyAlignment="1" applyProtection="1">
      <alignment horizontal="center" vertical="center"/>
    </xf>
    <xf numFmtId="0" fontId="40" fillId="3" borderId="0" xfId="0" applyNumberFormat="1" applyFont="1" applyFill="1" applyAlignment="1" applyProtection="1">
      <alignment horizontal="right" vertical="center"/>
    </xf>
    <xf numFmtId="0" fontId="40" fillId="4" borderId="2" xfId="0" applyNumberFormat="1" applyFont="1" applyFill="1" applyBorder="1" applyAlignment="1" applyProtection="1">
      <alignment horizontal="center" vertical="center"/>
    </xf>
    <xf numFmtId="0" fontId="41" fillId="3" borderId="0" xfId="0" applyNumberFormat="1" applyFont="1" applyFill="1" applyAlignment="1" applyProtection="1">
      <alignment horizontal="center" vertical="center"/>
    </xf>
    <xf numFmtId="0" fontId="41" fillId="3" borderId="0" xfId="0" applyNumberFormat="1" applyFont="1" applyFill="1" applyAlignment="1" applyProtection="1">
      <alignment horizontal="right" vertical="center"/>
    </xf>
    <xf numFmtId="0" fontId="31" fillId="3" borderId="0" xfId="0" applyNumberFormat="1" applyFont="1" applyFill="1" applyBorder="1" applyAlignment="1" applyProtection="1">
      <alignment horizontal="center" vertical="center"/>
    </xf>
    <xf numFmtId="0" fontId="42" fillId="3" borderId="0" xfId="0" applyNumberFormat="1" applyFont="1" applyFill="1" applyBorder="1" applyAlignment="1" applyProtection="1">
      <alignment horizontal="center" vertical="center"/>
    </xf>
    <xf numFmtId="0" fontId="43" fillId="3" borderId="0" xfId="0" applyNumberFormat="1" applyFont="1" applyFill="1" applyProtection="1">
      <alignment vertical="center"/>
    </xf>
    <xf numFmtId="0" fontId="28" fillId="2" borderId="1" xfId="1" quotePrefix="1" applyNumberFormat="1" applyFont="1" applyAlignment="1" applyProtection="1">
      <alignment horizontal="center" vertical="center" wrapText="1"/>
    </xf>
    <xf numFmtId="0" fontId="34" fillId="3" borderId="0" xfId="0" applyNumberFormat="1" applyFont="1" applyFill="1" applyAlignment="1" applyProtection="1">
      <alignment horizontal="left" vertical="center"/>
    </xf>
    <xf numFmtId="0" fontId="22" fillId="3" borderId="0" xfId="0" applyNumberFormat="1" applyFont="1" applyFill="1" applyAlignment="1" applyProtection="1">
      <alignment horizontal="left" vertical="center"/>
    </xf>
    <xf numFmtId="0" fontId="44" fillId="3" borderId="0" xfId="0" applyNumberFormat="1" applyFont="1" applyFill="1" applyAlignment="1" applyProtection="1">
      <alignment horizontal="left" vertical="center"/>
    </xf>
    <xf numFmtId="0" fontId="17" fillId="3" borderId="0" xfId="0" applyNumberFormat="1" applyFont="1" applyFill="1" applyBorder="1" applyAlignment="1" applyProtection="1">
      <alignment horizontal="left" vertical="center"/>
    </xf>
    <xf numFmtId="0" fontId="16" fillId="3" borderId="0" xfId="0" applyNumberFormat="1" applyFont="1" applyFill="1" applyAlignment="1" applyProtection="1">
      <alignment horizontal="left" vertical="center"/>
    </xf>
    <xf numFmtId="0" fontId="18" fillId="3" borderId="3" xfId="1" applyNumberFormat="1" applyFont="1" applyFill="1" applyBorder="1" applyAlignment="1" applyProtection="1">
      <alignment horizontal="left" vertical="center"/>
    </xf>
    <xf numFmtId="176" fontId="19" fillId="3" borderId="0" xfId="0" applyNumberFormat="1" applyFont="1" applyFill="1" applyAlignment="1" applyProtection="1">
      <alignment horizontal="left" vertical="center"/>
    </xf>
    <xf numFmtId="176" fontId="30" fillId="3" borderId="0" xfId="0" applyNumberFormat="1" applyFont="1" applyFill="1" applyAlignment="1" applyProtection="1">
      <alignment horizontal="left" vertical="center"/>
    </xf>
    <xf numFmtId="0" fontId="22" fillId="3" borderId="0" xfId="0" applyNumberFormat="1" applyFont="1" applyFill="1" applyAlignment="1" applyProtection="1">
      <alignment horizontal="left" vertical="center"/>
      <protection locked="0"/>
    </xf>
    <xf numFmtId="0" fontId="0" fillId="3" borderId="0" xfId="0" applyNumberFormat="1" applyFill="1" applyAlignment="1" applyProtection="1">
      <alignment horizontal="left" vertical="center"/>
      <protection locked="0"/>
    </xf>
    <xf numFmtId="0" fontId="0" fillId="3" borderId="0" xfId="0" applyFill="1" applyAlignment="1" applyProtection="1">
      <alignment horizontal="left" vertical="center"/>
      <protection locked="0"/>
    </xf>
    <xf numFmtId="0" fontId="22" fillId="3" borderId="0" xfId="0" applyFont="1" applyFill="1" applyAlignment="1" applyProtection="1">
      <alignment horizontal="left" vertical="center"/>
      <protection locked="0"/>
    </xf>
    <xf numFmtId="0" fontId="16" fillId="3" borderId="0" xfId="0" applyFont="1" applyFill="1" applyAlignment="1" applyProtection="1">
      <alignment horizontal="left" vertical="center"/>
      <protection locked="0"/>
    </xf>
    <xf numFmtId="0" fontId="0" fillId="6" borderId="0" xfId="0" applyFont="1" applyFill="1" applyProtection="1">
      <alignment vertical="center"/>
    </xf>
    <xf numFmtId="14" fontId="0" fillId="6" borderId="0" xfId="0" applyNumberFormat="1" applyFont="1" applyFill="1" applyProtection="1">
      <alignment vertical="center"/>
    </xf>
    <xf numFmtId="0" fontId="9" fillId="3" borderId="0" xfId="0" applyNumberFormat="1" applyFont="1" applyFill="1" applyAlignment="1" applyProtection="1">
      <alignment horizontal="left" vertical="center"/>
      <protection locked="0"/>
    </xf>
    <xf numFmtId="176" fontId="29" fillId="3" borderId="0" xfId="0" applyNumberFormat="1" applyFont="1" applyFill="1" applyProtection="1">
      <alignment vertical="center"/>
      <protection locked="0"/>
    </xf>
    <xf numFmtId="176" fontId="16" fillId="3" borderId="0" xfId="0" applyNumberFormat="1" applyFont="1" applyFill="1" applyAlignment="1" applyProtection="1">
      <alignment horizontal="left" vertical="center"/>
      <protection locked="0"/>
    </xf>
    <xf numFmtId="176" fontId="16" fillId="3" borderId="0" xfId="0" applyNumberFormat="1" applyFont="1" applyFill="1" applyAlignment="1" applyProtection="1">
      <alignment horizontal="center" vertical="center"/>
      <protection locked="0"/>
    </xf>
    <xf numFmtId="176" fontId="29" fillId="3" borderId="0" xfId="0" applyNumberFormat="1" applyFont="1" applyFill="1" applyAlignment="1" applyProtection="1">
      <alignment horizontal="center" vertical="center"/>
      <protection locked="0"/>
    </xf>
    <xf numFmtId="0" fontId="35" fillId="3" borderId="0" xfId="0" applyNumberFormat="1" applyFont="1" applyFill="1" applyAlignment="1" applyProtection="1">
      <alignment horizontal="center" vertical="center"/>
    </xf>
    <xf numFmtId="0" fontId="33" fillId="7" borderId="1" xfId="0" applyNumberFormat="1" applyFont="1" applyFill="1" applyBorder="1" applyAlignment="1" applyProtection="1">
      <alignment horizontal="center" vertical="center"/>
    </xf>
    <xf numFmtId="176" fontId="18" fillId="3" borderId="0" xfId="1" applyNumberFormat="1" applyFont="1" applyFill="1" applyBorder="1" applyAlignment="1" applyProtection="1">
      <alignment horizontal="center" vertical="center"/>
    </xf>
    <xf numFmtId="0" fontId="47" fillId="3" borderId="6" xfId="0" applyNumberFormat="1" applyFont="1" applyFill="1" applyBorder="1" applyAlignment="1" applyProtection="1">
      <alignment vertical="center"/>
    </xf>
    <xf numFmtId="0" fontId="47" fillId="3" borderId="0" xfId="0" applyNumberFormat="1" applyFont="1" applyFill="1" applyBorder="1" applyAlignment="1" applyProtection="1">
      <alignment vertical="center"/>
    </xf>
    <xf numFmtId="0" fontId="53" fillId="3" borderId="0" xfId="0" applyNumberFormat="1" applyFont="1" applyFill="1" applyAlignment="1" applyProtection="1">
      <alignment horizontal="center" vertical="center"/>
    </xf>
    <xf numFmtId="0" fontId="15" fillId="3" borderId="0" xfId="0" applyNumberFormat="1" applyFont="1" applyFill="1" applyAlignment="1" applyProtection="1">
      <alignment horizontal="center" vertical="center"/>
    </xf>
    <xf numFmtId="0" fontId="54" fillId="3" borderId="0" xfId="0" applyNumberFormat="1" applyFont="1" applyFill="1" applyBorder="1" applyProtection="1">
      <alignment vertical="center"/>
    </xf>
    <xf numFmtId="176" fontId="55" fillId="3" borderId="0" xfId="1" applyNumberFormat="1" applyFont="1" applyFill="1" applyBorder="1" applyAlignment="1" applyProtection="1">
      <alignment horizontal="center" vertical="center" wrapText="1"/>
    </xf>
    <xf numFmtId="176" fontId="18" fillId="3" borderId="0" xfId="1" applyNumberFormat="1" applyFont="1" applyFill="1" applyBorder="1" applyAlignment="1" applyProtection="1">
      <alignment horizontal="center" vertical="center" wrapText="1"/>
    </xf>
    <xf numFmtId="178" fontId="56" fillId="5" borderId="1" xfId="1" applyNumberFormat="1" applyFont="1" applyFill="1" applyAlignment="1" applyProtection="1">
      <alignment horizontal="center" vertical="center" wrapText="1"/>
      <protection locked="0"/>
    </xf>
    <xf numFmtId="0" fontId="57" fillId="5" borderId="2" xfId="0" applyNumberFormat="1" applyFont="1" applyFill="1" applyBorder="1" applyAlignment="1" applyProtection="1">
      <alignment horizontal="center" vertical="center"/>
      <protection locked="0"/>
    </xf>
    <xf numFmtId="0" fontId="56" fillId="2" borderId="1" xfId="1" applyNumberFormat="1" applyFont="1" applyAlignment="1" applyProtection="1">
      <alignment horizontal="center" vertical="center" wrapText="1"/>
    </xf>
    <xf numFmtId="0" fontId="56" fillId="2" borderId="1" xfId="1" applyNumberFormat="1" applyFont="1" applyAlignment="1" applyProtection="1">
      <alignment horizontal="center" vertical="center"/>
    </xf>
    <xf numFmtId="0" fontId="56" fillId="2" borderId="1" xfId="1" applyNumberFormat="1" applyFont="1" applyAlignment="1" applyProtection="1">
      <alignment horizontal="center" vertical="center" shrinkToFit="1"/>
    </xf>
    <xf numFmtId="177" fontId="56" fillId="5" borderId="1" xfId="1" applyNumberFormat="1" applyFont="1" applyFill="1" applyAlignment="1" applyProtection="1">
      <alignment horizontal="center" vertical="center" wrapText="1"/>
      <protection locked="0"/>
    </xf>
    <xf numFmtId="0" fontId="3" fillId="6" borderId="0" xfId="0" applyFont="1" applyFill="1" applyAlignment="1" applyProtection="1">
      <alignment vertical="top" wrapText="1"/>
    </xf>
    <xf numFmtId="0" fontId="3" fillId="6" borderId="0" xfId="0" applyFont="1" applyFill="1" applyAlignment="1" applyProtection="1">
      <alignment horizontal="left" vertical="top" wrapText="1"/>
    </xf>
    <xf numFmtId="0" fontId="21" fillId="6" borderId="0" xfId="0" applyFont="1" applyFill="1" applyAlignment="1" applyProtection="1">
      <alignment horizontal="center" vertical="center"/>
    </xf>
    <xf numFmtId="176" fontId="22" fillId="3" borderId="0" xfId="0" applyNumberFormat="1" applyFont="1" applyFill="1" applyAlignment="1" applyProtection="1">
      <alignment horizontal="left" vertical="center"/>
    </xf>
    <xf numFmtId="176" fontId="22" fillId="3" borderId="0" xfId="0" applyNumberFormat="1" applyFont="1" applyFill="1" applyAlignment="1" applyProtection="1">
      <alignment horizontal="center" vertical="center"/>
    </xf>
    <xf numFmtId="176" fontId="48" fillId="3" borderId="0" xfId="0" applyNumberFormat="1" applyFont="1" applyFill="1" applyAlignment="1" applyProtection="1">
      <alignment horizontal="left" vertical="center"/>
    </xf>
    <xf numFmtId="176" fontId="49" fillId="3" borderId="0" xfId="0" applyNumberFormat="1" applyFont="1" applyFill="1" applyAlignment="1" applyProtection="1">
      <alignment horizontal="left" vertical="center"/>
    </xf>
    <xf numFmtId="176" fontId="34" fillId="3" borderId="0" xfId="0" applyNumberFormat="1" applyFont="1" applyFill="1" applyAlignment="1" applyProtection="1">
      <alignment horizontal="center" vertical="center"/>
    </xf>
    <xf numFmtId="176" fontId="49" fillId="3" borderId="0" xfId="0" applyNumberFormat="1" applyFont="1" applyFill="1" applyBorder="1" applyAlignment="1" applyProtection="1">
      <alignment horizontal="left" vertical="center"/>
    </xf>
    <xf numFmtId="176" fontId="34" fillId="3" borderId="0" xfId="0" applyNumberFormat="1" applyFont="1" applyFill="1" applyBorder="1" applyAlignment="1" applyProtection="1">
      <alignment horizontal="center" vertical="center"/>
    </xf>
    <xf numFmtId="176" fontId="37" fillId="3" borderId="0" xfId="1" applyNumberFormat="1" applyFont="1" applyFill="1" applyBorder="1" applyAlignment="1" applyProtection="1">
      <alignment horizontal="left" vertical="center"/>
    </xf>
    <xf numFmtId="176" fontId="37" fillId="3" borderId="0" xfId="1" quotePrefix="1" applyNumberFormat="1" applyFont="1" applyFill="1" applyBorder="1" applyAlignment="1" applyProtection="1">
      <alignment horizontal="left" vertical="center"/>
    </xf>
    <xf numFmtId="176" fontId="37" fillId="3" borderId="0" xfId="1" quotePrefix="1" applyNumberFormat="1" applyFont="1" applyFill="1" applyBorder="1" applyAlignment="1" applyProtection="1">
      <alignment horizontal="center" vertical="center"/>
    </xf>
    <xf numFmtId="176" fontId="37" fillId="3" borderId="0" xfId="1" applyNumberFormat="1" applyFont="1" applyFill="1" applyBorder="1" applyAlignment="1" applyProtection="1">
      <alignment horizontal="center" vertical="center"/>
    </xf>
    <xf numFmtId="176" fontId="52" fillId="3" borderId="3" xfId="1" applyNumberFormat="1" applyFont="1" applyFill="1" applyBorder="1" applyAlignment="1" applyProtection="1">
      <alignment horizontal="left" vertical="center" wrapText="1"/>
    </xf>
    <xf numFmtId="176" fontId="8" fillId="3" borderId="0" xfId="1" applyNumberFormat="1" applyFont="1" applyFill="1" applyBorder="1" applyAlignment="1" applyProtection="1">
      <alignment horizontal="center" vertical="center" wrapText="1"/>
    </xf>
    <xf numFmtId="176" fontId="51" fillId="3" borderId="0" xfId="0" applyNumberFormat="1" applyFont="1" applyFill="1" applyAlignment="1" applyProtection="1">
      <alignment horizontal="center" vertical="center"/>
    </xf>
    <xf numFmtId="176" fontId="8" fillId="2" borderId="0" xfId="1" quotePrefix="1" applyNumberFormat="1" applyFont="1" applyBorder="1" applyAlignment="1" applyProtection="1">
      <alignment horizontal="center" vertical="center" wrapText="1"/>
    </xf>
    <xf numFmtId="176" fontId="51" fillId="2" borderId="0" xfId="1" quotePrefix="1" applyNumberFormat="1" applyFont="1" applyBorder="1" applyAlignment="1" applyProtection="1">
      <alignment horizontal="center" vertical="center" wrapText="1"/>
    </xf>
    <xf numFmtId="176" fontId="50" fillId="2" borderId="0" xfId="1" quotePrefix="1" applyNumberFormat="1" applyFont="1" applyBorder="1" applyAlignment="1" applyProtection="1">
      <alignment horizontal="center" vertical="center" wrapText="1"/>
    </xf>
    <xf numFmtId="176" fontId="8" fillId="3" borderId="0" xfId="1" applyNumberFormat="1" applyFont="1" applyFill="1" applyBorder="1" applyAlignment="1" applyProtection="1">
      <alignment horizontal="center" vertical="center"/>
    </xf>
    <xf numFmtId="176" fontId="51" fillId="3" borderId="0" xfId="1" applyNumberFormat="1" applyFont="1" applyFill="1" applyBorder="1" applyAlignment="1" applyProtection="1">
      <alignment horizontal="center" vertical="center"/>
    </xf>
    <xf numFmtId="176" fontId="9" fillId="3" borderId="0" xfId="0" applyNumberFormat="1" applyFont="1" applyFill="1" applyAlignment="1" applyProtection="1">
      <alignment horizontal="center" vertical="center"/>
    </xf>
    <xf numFmtId="0" fontId="3" fillId="6" borderId="0" xfId="0" applyFont="1" applyFill="1" applyAlignment="1" applyProtection="1">
      <alignment horizontal="left" vertical="top" wrapText="1"/>
    </xf>
    <xf numFmtId="0" fontId="21" fillId="6" borderId="0" xfId="0" applyFont="1" applyFill="1" applyAlignment="1" applyProtection="1">
      <alignment horizontal="center" vertical="center"/>
    </xf>
    <xf numFmtId="0" fontId="3" fillId="6" borderId="0" xfId="0" applyFont="1" applyFill="1" applyAlignment="1" applyProtection="1">
      <alignment horizontal="left" vertical="top"/>
    </xf>
    <xf numFmtId="0" fontId="3" fillId="6" borderId="0" xfId="0" applyFont="1" applyFill="1" applyAlignment="1" applyProtection="1">
      <alignment horizontal="right" vertical="top" wrapText="1"/>
    </xf>
    <xf numFmtId="14" fontId="3" fillId="6" borderId="0" xfId="0" applyNumberFormat="1" applyFont="1" applyFill="1" applyAlignment="1" applyProtection="1">
      <alignment horizontal="center" vertical="center"/>
    </xf>
    <xf numFmtId="0" fontId="33" fillId="7" borderId="1" xfId="0" applyNumberFormat="1" applyFont="1" applyFill="1" applyBorder="1" applyAlignment="1" applyProtection="1">
      <alignment horizontal="center" vertical="center"/>
    </xf>
    <xf numFmtId="0" fontId="14" fillId="3" borderId="0" xfId="1" applyNumberFormat="1" applyFont="1" applyFill="1" applyBorder="1" applyAlignment="1" applyProtection="1">
      <alignment horizontal="left" vertical="center" wrapText="1"/>
    </xf>
    <xf numFmtId="0" fontId="35" fillId="3" borderId="0" xfId="0" applyNumberFormat="1" applyFont="1" applyFill="1" applyAlignment="1" applyProtection="1">
      <alignment horizontal="center" vertical="center"/>
    </xf>
    <xf numFmtId="0" fontId="7" fillId="2" borderId="9" xfId="1" applyNumberFormat="1" applyFont="1" applyBorder="1" applyAlignment="1" applyProtection="1">
      <alignment horizontal="center" vertical="center"/>
    </xf>
    <xf numFmtId="0" fontId="7" fillId="2" borderId="12" xfId="1" applyNumberFormat="1" applyFont="1" applyBorder="1" applyAlignment="1" applyProtection="1">
      <alignment horizontal="center" vertical="center"/>
    </xf>
    <xf numFmtId="0" fontId="7" fillId="2" borderId="13" xfId="1" applyNumberFormat="1" applyFont="1" applyBorder="1" applyAlignment="1" applyProtection="1">
      <alignment horizontal="center" vertical="center"/>
    </xf>
    <xf numFmtId="0" fontId="33" fillId="7" borderId="10" xfId="0" applyNumberFormat="1" applyFont="1" applyFill="1" applyBorder="1" applyAlignment="1" applyProtection="1">
      <alignment horizontal="center" vertical="center" textRotation="255"/>
    </xf>
    <xf numFmtId="0" fontId="33" fillId="7" borderId="11" xfId="0" applyNumberFormat="1" applyFont="1" applyFill="1" applyBorder="1" applyAlignment="1" applyProtection="1">
      <alignment horizontal="center" vertical="center" textRotation="255"/>
    </xf>
    <xf numFmtId="0" fontId="33" fillId="7" borderId="7" xfId="0" applyNumberFormat="1" applyFont="1" applyFill="1" applyBorder="1" applyAlignment="1" applyProtection="1">
      <alignment horizontal="center" vertical="center" textRotation="255"/>
    </xf>
    <xf numFmtId="0" fontId="7" fillId="2" borderId="14" xfId="1" applyNumberFormat="1" applyFont="1" applyBorder="1" applyAlignment="1" applyProtection="1">
      <alignment horizontal="center" vertical="center"/>
    </xf>
    <xf numFmtId="0" fontId="7" fillId="2" borderId="8" xfId="1" applyNumberFormat="1" applyFont="1" applyBorder="1" applyAlignment="1" applyProtection="1">
      <alignment horizontal="center" vertical="center"/>
    </xf>
    <xf numFmtId="0" fontId="0" fillId="4" borderId="5" xfId="0" applyFill="1" applyBorder="1" applyAlignment="1" applyProtection="1">
      <alignment horizontal="center" vertical="center"/>
    </xf>
    <xf numFmtId="0" fontId="0" fillId="4" borderId="5" xfId="0" applyFill="1" applyBorder="1" applyAlignment="1" applyProtection="1">
      <alignment horizontal="left" vertical="center"/>
    </xf>
    <xf numFmtId="0" fontId="0" fillId="4" borderId="5" xfId="0" applyFill="1" applyBorder="1" applyAlignment="1" applyProtection="1">
      <alignment horizontal="center" vertical="center" textRotation="255"/>
    </xf>
    <xf numFmtId="0" fontId="25" fillId="4" borderId="4" xfId="0" applyFont="1" applyFill="1" applyBorder="1" applyAlignment="1" applyProtection="1">
      <alignment horizontal="center" vertical="center"/>
    </xf>
    <xf numFmtId="0" fontId="26" fillId="4" borderId="4" xfId="0" applyFont="1" applyFill="1" applyBorder="1" applyAlignment="1" applyProtection="1">
      <alignment horizontal="center" vertical="center"/>
    </xf>
  </cellXfs>
  <cellStyles count="3">
    <cellStyle name="ハイパーリンク" xfId="2" builtinId="8"/>
    <cellStyle name="計算" xfId="1" builtinId="22"/>
    <cellStyle name="標準" xfId="0" builtinId="0"/>
  </cellStyles>
  <dxfs count="78">
    <dxf>
      <font>
        <b/>
        <i val="0"/>
        <color rgb="FFFF0000"/>
      </font>
    </dxf>
    <dxf>
      <font>
        <b/>
        <i val="0"/>
        <color rgb="FF0309FB"/>
      </font>
    </dxf>
    <dxf>
      <font>
        <b/>
        <i val="0"/>
        <color rgb="FFFF0000"/>
      </font>
    </dxf>
    <dxf>
      <font>
        <b/>
        <i val="0"/>
        <color rgb="FFFF0000"/>
      </font>
    </dxf>
    <dxf>
      <font>
        <b/>
        <i val="0"/>
        <color rgb="FFFF0000"/>
      </font>
    </dxf>
    <dxf>
      <font>
        <b/>
        <i val="0"/>
        <color rgb="FF0309FB"/>
      </font>
    </dxf>
    <dxf>
      <font>
        <b/>
        <i val="0"/>
        <color rgb="FF0309FB"/>
      </font>
    </dxf>
    <dxf>
      <font>
        <b/>
        <i val="0"/>
        <color rgb="FFFF0000"/>
      </font>
    </dxf>
    <dxf>
      <font>
        <b/>
        <i val="0"/>
        <color rgb="FFFF0000"/>
      </font>
    </dxf>
    <dxf>
      <font>
        <b/>
        <i val="0"/>
        <color theme="0"/>
      </font>
      <fill>
        <patternFill patternType="solid">
          <fgColor rgb="FF0309FB"/>
          <bgColor rgb="FF0066FF"/>
        </patternFill>
      </fill>
    </dxf>
    <dxf>
      <font>
        <b/>
        <i val="0"/>
        <color theme="0"/>
      </font>
      <fill>
        <patternFill>
          <bgColor rgb="FFFF0000"/>
        </patternFill>
      </fill>
    </dxf>
    <dxf>
      <font>
        <b/>
        <i val="0"/>
      </font>
    </dxf>
    <dxf>
      <font>
        <b/>
        <i val="0"/>
        <color auto="1"/>
      </font>
      <fill>
        <patternFill>
          <bgColor rgb="FFFFFF00"/>
        </patternFill>
      </fill>
    </dxf>
    <dxf>
      <font>
        <b/>
        <i val="0"/>
        <color auto="1"/>
      </font>
      <fill>
        <patternFill>
          <bgColor rgb="FFFFFF00"/>
        </patternFill>
      </fill>
    </dxf>
    <dxf>
      <font>
        <b/>
        <i val="0"/>
        <color rgb="FFFF0000"/>
      </font>
    </dxf>
    <dxf>
      <font>
        <b/>
        <i val="0"/>
        <color auto="1"/>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0309FB"/>
      </font>
    </dxf>
    <dxf>
      <font>
        <b/>
        <i val="0"/>
        <color theme="0"/>
      </font>
      <fill>
        <patternFill>
          <bgColor rgb="FFFF0000"/>
        </patternFill>
      </fill>
    </dxf>
    <dxf>
      <font>
        <b/>
        <i val="0"/>
        <color theme="0"/>
      </font>
      <fill>
        <patternFill>
          <fgColor rgb="FFFF0000"/>
          <bgColor rgb="FFFF0000"/>
        </patternFill>
      </fill>
    </dxf>
    <dxf>
      <font>
        <b/>
        <i val="0"/>
        <color rgb="FF0309FB"/>
      </font>
    </dxf>
    <dxf>
      <font>
        <b/>
        <i val="0"/>
        <color theme="0"/>
      </font>
      <fill>
        <patternFill>
          <bgColor rgb="FFFF0000"/>
        </patternFill>
      </fill>
    </dxf>
    <dxf>
      <font>
        <b/>
        <i val="0"/>
        <color theme="0"/>
      </font>
      <fill>
        <patternFill>
          <bgColor rgb="FFFF0000"/>
        </patternFill>
      </fill>
    </dxf>
    <dxf>
      <font>
        <b/>
        <i val="0"/>
        <color rgb="FF0309FB"/>
      </font>
    </dxf>
    <dxf>
      <font>
        <b/>
        <i val="0"/>
        <color rgb="FF0309FB"/>
      </font>
    </dxf>
    <dxf>
      <font>
        <b/>
        <i val="0"/>
        <color rgb="FFFF0000"/>
      </font>
    </dxf>
    <dxf>
      <font>
        <b/>
        <i val="0"/>
        <color theme="0"/>
      </font>
      <fill>
        <patternFill>
          <bgColor rgb="FFFF0000"/>
        </patternFill>
      </fill>
    </dxf>
    <dxf>
      <font>
        <b/>
        <i val="0"/>
        <color rgb="FFFF0000"/>
      </font>
    </dxf>
    <dxf>
      <font>
        <b/>
        <i val="0"/>
        <color rgb="FF0309FB"/>
      </font>
    </dxf>
    <dxf>
      <font>
        <b/>
        <i val="0"/>
        <color theme="0"/>
      </font>
      <fill>
        <patternFill>
          <bgColor rgb="FFFF0000"/>
        </patternFill>
      </fill>
    </dxf>
    <dxf>
      <font>
        <b/>
        <i val="0"/>
        <color rgb="FFFF0000"/>
      </font>
    </dxf>
    <dxf>
      <font>
        <b/>
        <i val="0"/>
        <color rgb="FFFF0000"/>
      </font>
    </dxf>
    <dxf>
      <font>
        <b/>
        <i val="0"/>
        <color rgb="FF0309FB"/>
      </font>
    </dxf>
    <dxf>
      <font>
        <b/>
        <i val="0"/>
        <color theme="1"/>
      </font>
    </dxf>
    <dxf>
      <numFmt numFmtId="3" formatCode="#,##0"/>
    </dxf>
    <dxf>
      <font>
        <b/>
        <i val="0"/>
        <color rgb="FF0309FB"/>
      </font>
    </dxf>
    <dxf>
      <font>
        <b/>
        <i val="0"/>
        <color theme="0"/>
      </font>
      <fill>
        <patternFill>
          <bgColor rgb="FFFF0000"/>
        </patternFill>
      </fill>
    </dxf>
    <dxf>
      <font>
        <b/>
        <i val="0"/>
        <color rgb="FF0309FB"/>
      </font>
    </dxf>
    <dxf>
      <font>
        <b/>
        <i val="0"/>
        <color theme="0"/>
      </font>
      <fill>
        <patternFill>
          <bgColor rgb="FFFF0000"/>
        </patternFill>
      </fill>
    </dxf>
    <dxf>
      <font>
        <b/>
        <i val="0"/>
        <color rgb="FFFF0000"/>
      </font>
    </dxf>
    <dxf>
      <font>
        <b/>
        <i val="0"/>
        <color rgb="FFFF0000"/>
      </font>
    </dxf>
    <dxf>
      <font>
        <b/>
        <i val="0"/>
        <color rgb="FF0309FB"/>
      </font>
    </dxf>
    <dxf>
      <font>
        <b/>
        <i val="0"/>
        <color rgb="FFFF0000"/>
      </font>
    </dxf>
    <dxf>
      <font>
        <b/>
        <i val="0"/>
        <color rgb="FFFF0000"/>
      </font>
    </dxf>
    <dxf>
      <font>
        <b/>
        <i val="0"/>
        <color rgb="FF0309FB"/>
      </font>
    </dxf>
    <dxf>
      <font>
        <b/>
        <i val="0"/>
        <color rgb="FF0309FB"/>
      </font>
    </dxf>
    <dxf>
      <font>
        <b/>
        <i val="0"/>
        <color rgb="FFFF0000"/>
      </font>
    </dxf>
    <dxf>
      <font>
        <b/>
        <i val="0"/>
        <color rgb="FFFF0000"/>
      </font>
    </dxf>
    <dxf>
      <font>
        <b/>
        <i val="0"/>
        <color theme="0"/>
      </font>
      <fill>
        <patternFill patternType="solid">
          <fgColor rgb="FF0309FB"/>
          <bgColor rgb="FF0066FF"/>
        </patternFill>
      </fill>
    </dxf>
    <dxf>
      <font>
        <b/>
        <i val="0"/>
        <color theme="0"/>
      </font>
      <fill>
        <patternFill>
          <bgColor rgb="FFFF0000"/>
        </patternFill>
      </fill>
    </dxf>
    <dxf>
      <font>
        <b/>
        <i val="0"/>
      </font>
    </dxf>
    <dxf>
      <font>
        <b/>
        <i val="0"/>
        <color auto="1"/>
      </font>
      <fill>
        <patternFill>
          <bgColor rgb="FFFFFF00"/>
        </patternFill>
      </fill>
    </dxf>
    <dxf>
      <font>
        <b/>
        <i val="0"/>
        <color auto="1"/>
      </font>
      <fill>
        <patternFill>
          <bgColor rgb="FFFFFF00"/>
        </patternFill>
      </fill>
    </dxf>
    <dxf>
      <font>
        <b/>
        <i val="0"/>
        <color rgb="FFFF0000"/>
      </font>
    </dxf>
    <dxf>
      <font>
        <b/>
        <i val="0"/>
        <color auto="1"/>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theme="0"/>
      </font>
      <fill>
        <patternFill>
          <bgColor rgb="FFFF0000"/>
        </patternFill>
      </fill>
    </dxf>
    <dxf>
      <font>
        <b/>
        <i val="0"/>
        <color rgb="FF0309FB"/>
      </font>
    </dxf>
    <dxf>
      <font>
        <b/>
        <i val="0"/>
        <color rgb="FF0309FB"/>
      </font>
    </dxf>
    <dxf>
      <font>
        <b/>
        <i val="0"/>
        <color rgb="FFFF0000"/>
      </font>
    </dxf>
    <dxf>
      <font>
        <b/>
        <i val="0"/>
        <color theme="0"/>
      </font>
      <fill>
        <patternFill>
          <bgColor rgb="FFFF0000"/>
        </patternFill>
      </fill>
    </dxf>
    <dxf>
      <font>
        <b/>
        <i val="0"/>
        <color rgb="FFFF0000"/>
      </font>
    </dxf>
    <dxf>
      <font>
        <b/>
        <i val="0"/>
        <color rgb="FF0309FB"/>
      </font>
    </dxf>
    <dxf>
      <font>
        <b/>
        <i val="0"/>
        <color theme="0"/>
      </font>
      <fill>
        <patternFill>
          <bgColor rgb="FFFF0000"/>
        </patternFill>
      </fill>
    </dxf>
    <dxf>
      <font>
        <b/>
        <i val="0"/>
        <color rgb="FFFF0000"/>
      </font>
    </dxf>
    <dxf>
      <font>
        <b/>
        <i val="0"/>
        <color rgb="FFFF0000"/>
      </font>
    </dxf>
    <dxf>
      <font>
        <b/>
        <i val="0"/>
        <color rgb="FF0309FB"/>
      </font>
    </dxf>
    <dxf>
      <font>
        <b/>
        <i val="0"/>
        <color theme="1"/>
      </font>
    </dxf>
  </dxfs>
  <tableStyles count="0" defaultTableStyle="TableStyleMedium2" defaultPivotStyle="PivotStyleLight16"/>
  <colors>
    <mruColors>
      <color rgb="FF0309FB"/>
      <color rgb="FFFA7D00"/>
      <color rgb="FFFA7D33"/>
      <color rgb="FF0066FF"/>
      <color rgb="FF0341BD"/>
      <color rgb="FFFF9933"/>
      <color rgb="FFFF9900"/>
      <color rgb="FF18D1FC"/>
      <color rgb="FFF4F8D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523875</xdr:colOff>
      <xdr:row>11</xdr:row>
      <xdr:rowOff>266700</xdr:rowOff>
    </xdr:from>
    <xdr:to>
      <xdr:col>10</xdr:col>
      <xdr:colOff>590551</xdr:colOff>
      <xdr:row>12</xdr:row>
      <xdr:rowOff>211194</xdr:rowOff>
    </xdr:to>
    <xdr:pic>
      <xdr:nvPicPr>
        <xdr:cNvPr id="2" name="図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238875" y="3209925"/>
          <a:ext cx="1495426" cy="23024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952500</xdr:colOff>
      <xdr:row>16</xdr:row>
      <xdr:rowOff>0</xdr:rowOff>
    </xdr:from>
    <xdr:to>
      <xdr:col>2</xdr:col>
      <xdr:colOff>952500</xdr:colOff>
      <xdr:row>17</xdr:row>
      <xdr:rowOff>0</xdr:rowOff>
    </xdr:to>
    <xdr:cxnSp macro="">
      <xdr:nvCxnSpPr>
        <xdr:cNvPr id="2" name="直線コネクタ 1"/>
        <xdr:cNvCxnSpPr/>
      </xdr:nvCxnSpPr>
      <xdr:spPr>
        <a:xfrm>
          <a:off x="3019425" y="3810000"/>
          <a:ext cx="0" cy="238125"/>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45"/>
  <sheetViews>
    <sheetView tabSelected="1" view="pageBreakPreview" topLeftCell="A17" zoomScaleNormal="100" zoomScaleSheetLayoutView="100" workbookViewId="0">
      <selection activeCell="K45" sqref="K45:L45"/>
    </sheetView>
  </sheetViews>
  <sheetFormatPr defaultRowHeight="18.75" x14ac:dyDescent="0.4"/>
  <cols>
    <col min="1" max="12" width="9.375" style="13" customWidth="1"/>
    <col min="13" max="16384" width="9" style="13"/>
  </cols>
  <sheetData>
    <row r="1" spans="1:12" ht="27" customHeight="1" x14ac:dyDescent="0.4">
      <c r="B1" s="151" t="s">
        <v>114</v>
      </c>
      <c r="C1" s="151"/>
      <c r="D1" s="151"/>
      <c r="E1" s="151"/>
      <c r="F1" s="151"/>
      <c r="G1" s="151"/>
      <c r="H1" s="151"/>
      <c r="I1" s="151"/>
      <c r="J1" s="151"/>
      <c r="K1" s="151"/>
    </row>
    <row r="2" spans="1:12" ht="21" customHeight="1" x14ac:dyDescent="0.4">
      <c r="A2" s="14" t="s">
        <v>156</v>
      </c>
      <c r="B2" s="129"/>
      <c r="C2" s="129"/>
      <c r="D2" s="129"/>
      <c r="E2" s="129"/>
      <c r="F2" s="129"/>
      <c r="G2" s="129"/>
      <c r="H2" s="129"/>
      <c r="I2" s="129"/>
      <c r="J2" s="129"/>
      <c r="K2" s="129"/>
    </row>
    <row r="3" spans="1:12" ht="21" customHeight="1" x14ac:dyDescent="0.4">
      <c r="B3" s="152" t="s">
        <v>165</v>
      </c>
      <c r="C3" s="152"/>
      <c r="D3" s="152"/>
      <c r="E3" s="152"/>
      <c r="F3" s="152"/>
      <c r="G3" s="152"/>
      <c r="H3" s="152"/>
      <c r="I3" s="152"/>
      <c r="J3" s="152"/>
      <c r="K3" s="152"/>
      <c r="L3" s="152"/>
    </row>
    <row r="4" spans="1:12" ht="21" customHeight="1" x14ac:dyDescent="0.4">
      <c r="B4" s="150" t="s">
        <v>166</v>
      </c>
      <c r="C4" s="150"/>
      <c r="D4" s="150"/>
      <c r="E4" s="150"/>
      <c r="F4" s="150"/>
      <c r="G4" s="150"/>
      <c r="H4" s="150"/>
      <c r="I4" s="150"/>
      <c r="J4" s="150"/>
      <c r="K4" s="150"/>
      <c r="L4" s="150"/>
    </row>
    <row r="5" spans="1:12" ht="21" customHeight="1" x14ac:dyDescent="0.4">
      <c r="B5" s="150" t="s">
        <v>167</v>
      </c>
      <c r="C5" s="150"/>
      <c r="D5" s="150"/>
      <c r="E5" s="150"/>
      <c r="F5" s="150"/>
      <c r="G5" s="150"/>
      <c r="H5" s="150"/>
      <c r="I5" s="150"/>
      <c r="J5" s="150"/>
      <c r="K5" s="150"/>
      <c r="L5" s="150"/>
    </row>
    <row r="6" spans="1:12" ht="21" x14ac:dyDescent="0.4">
      <c r="A6" s="14" t="s">
        <v>103</v>
      </c>
      <c r="B6" s="15"/>
      <c r="C6" s="15"/>
      <c r="D6" s="15"/>
      <c r="E6" s="15"/>
      <c r="F6" s="15"/>
      <c r="G6" s="15"/>
      <c r="H6" s="15"/>
    </row>
    <row r="7" spans="1:12" ht="18.75" customHeight="1" x14ac:dyDescent="0.4">
      <c r="A7" s="16" t="s">
        <v>105</v>
      </c>
      <c r="B7" s="150" t="s">
        <v>104</v>
      </c>
      <c r="C7" s="150"/>
      <c r="D7" s="150"/>
      <c r="E7" s="150"/>
      <c r="F7" s="150"/>
      <c r="G7" s="150"/>
      <c r="H7" s="150"/>
      <c r="I7" s="150"/>
      <c r="J7" s="150"/>
      <c r="K7" s="150"/>
      <c r="L7" s="150"/>
    </row>
    <row r="8" spans="1:12" ht="18.75" customHeight="1" x14ac:dyDescent="0.4">
      <c r="A8" s="16" t="s">
        <v>106</v>
      </c>
      <c r="B8" s="150" t="s">
        <v>161</v>
      </c>
      <c r="C8" s="150"/>
      <c r="D8" s="150"/>
      <c r="E8" s="150"/>
      <c r="F8" s="150"/>
      <c r="G8" s="150"/>
      <c r="H8" s="150"/>
      <c r="I8" s="150"/>
      <c r="J8" s="150"/>
      <c r="K8" s="150"/>
      <c r="L8" s="150"/>
    </row>
    <row r="9" spans="1:12" x14ac:dyDescent="0.4">
      <c r="A9" s="17"/>
      <c r="B9" s="150"/>
      <c r="C9" s="150"/>
      <c r="D9" s="150"/>
      <c r="E9" s="150"/>
      <c r="F9" s="150"/>
      <c r="G9" s="150"/>
      <c r="H9" s="150"/>
      <c r="I9" s="150"/>
      <c r="J9" s="150"/>
      <c r="K9" s="150"/>
      <c r="L9" s="150"/>
    </row>
    <row r="10" spans="1:12" ht="21" x14ac:dyDescent="0.4">
      <c r="A10" s="14" t="s">
        <v>107</v>
      </c>
      <c r="B10" s="15"/>
      <c r="C10" s="15"/>
      <c r="D10" s="15"/>
      <c r="E10" s="15"/>
      <c r="F10" s="15"/>
      <c r="G10" s="15"/>
      <c r="H10" s="15"/>
    </row>
    <row r="11" spans="1:12" ht="22.5" customHeight="1" x14ac:dyDescent="0.4">
      <c r="A11" s="16" t="s">
        <v>157</v>
      </c>
      <c r="B11" s="150" t="s">
        <v>143</v>
      </c>
      <c r="C11" s="150"/>
      <c r="D11" s="150"/>
      <c r="E11" s="150"/>
      <c r="F11" s="150"/>
      <c r="G11" s="150"/>
      <c r="H11" s="150"/>
      <c r="I11" s="150"/>
      <c r="J11" s="150"/>
      <c r="K11" s="150"/>
      <c r="L11" s="150"/>
    </row>
    <row r="12" spans="1:12" ht="22.5" customHeight="1" x14ac:dyDescent="0.4">
      <c r="A12" s="16"/>
      <c r="B12" s="150"/>
      <c r="C12" s="150"/>
      <c r="D12" s="150"/>
      <c r="E12" s="150"/>
      <c r="F12" s="150"/>
      <c r="G12" s="150"/>
      <c r="H12" s="150"/>
      <c r="I12" s="150"/>
      <c r="J12" s="150"/>
      <c r="K12" s="150"/>
      <c r="L12" s="150"/>
    </row>
    <row r="13" spans="1:12" ht="22.5" customHeight="1" x14ac:dyDescent="0.4">
      <c r="A13" s="16" t="s">
        <v>106</v>
      </c>
      <c r="B13" s="150" t="s">
        <v>168</v>
      </c>
      <c r="C13" s="150"/>
      <c r="D13" s="150"/>
      <c r="E13" s="150"/>
      <c r="F13" s="150"/>
      <c r="G13" s="150"/>
      <c r="H13" s="150"/>
      <c r="I13" s="150"/>
      <c r="J13" s="150"/>
      <c r="K13" s="150"/>
      <c r="L13" s="150"/>
    </row>
    <row r="14" spans="1:12" ht="22.5" customHeight="1" x14ac:dyDescent="0.4">
      <c r="A14" s="17"/>
      <c r="B14" s="150"/>
      <c r="C14" s="150"/>
      <c r="D14" s="150"/>
      <c r="E14" s="150"/>
      <c r="F14" s="150"/>
      <c r="G14" s="150"/>
      <c r="H14" s="150"/>
      <c r="I14" s="150"/>
      <c r="J14" s="150"/>
      <c r="K14" s="150"/>
      <c r="L14" s="150"/>
    </row>
    <row r="15" spans="1:12" ht="22.5" customHeight="1" x14ac:dyDescent="0.4">
      <c r="A15" s="16" t="s">
        <v>109</v>
      </c>
      <c r="B15" s="150" t="s">
        <v>178</v>
      </c>
      <c r="C15" s="150"/>
      <c r="D15" s="150"/>
      <c r="E15" s="150"/>
      <c r="F15" s="150"/>
      <c r="G15" s="150"/>
      <c r="H15" s="150"/>
      <c r="I15" s="150"/>
      <c r="J15" s="150"/>
      <c r="K15" s="150"/>
      <c r="L15" s="150"/>
    </row>
    <row r="16" spans="1:12" ht="22.5" customHeight="1" x14ac:dyDescent="0.4">
      <c r="A16" s="17"/>
      <c r="B16" s="150"/>
      <c r="C16" s="150"/>
      <c r="D16" s="150"/>
      <c r="E16" s="150"/>
      <c r="F16" s="150"/>
      <c r="G16" s="150"/>
      <c r="H16" s="150"/>
      <c r="I16" s="150"/>
      <c r="J16" s="150"/>
      <c r="K16" s="150"/>
      <c r="L16" s="150"/>
    </row>
    <row r="17" spans="1:23" ht="21" x14ac:dyDescent="0.4">
      <c r="A17" s="18" t="s">
        <v>108</v>
      </c>
      <c r="B17" s="15"/>
      <c r="C17" s="15"/>
      <c r="D17" s="15"/>
      <c r="E17" s="15"/>
      <c r="F17" s="15"/>
      <c r="G17" s="15"/>
      <c r="H17" s="15"/>
    </row>
    <row r="18" spans="1:23" ht="18.75" customHeight="1" x14ac:dyDescent="0.4">
      <c r="A18" s="16" t="s">
        <v>105</v>
      </c>
      <c r="B18" s="150" t="s">
        <v>132</v>
      </c>
      <c r="C18" s="150"/>
      <c r="D18" s="150"/>
      <c r="E18" s="150"/>
      <c r="F18" s="150"/>
      <c r="G18" s="150"/>
      <c r="H18" s="150"/>
      <c r="I18" s="150"/>
      <c r="J18" s="150"/>
      <c r="K18" s="150"/>
      <c r="L18" s="150"/>
    </row>
    <row r="19" spans="1:23" ht="18.75" customHeight="1" x14ac:dyDescent="0.4">
      <c r="A19" s="16" t="s">
        <v>106</v>
      </c>
      <c r="B19" s="150" t="s">
        <v>110</v>
      </c>
      <c r="C19" s="150"/>
      <c r="D19" s="150"/>
      <c r="E19" s="150"/>
      <c r="F19" s="150"/>
      <c r="G19" s="150"/>
      <c r="H19" s="150"/>
      <c r="I19" s="104"/>
      <c r="J19" s="104"/>
      <c r="K19" s="104"/>
      <c r="L19" s="104"/>
    </row>
    <row r="20" spans="1:23" ht="18.75" customHeight="1" x14ac:dyDescent="0.4">
      <c r="A20" s="16"/>
      <c r="B20" s="153" t="s">
        <v>111</v>
      </c>
      <c r="C20" s="153"/>
      <c r="D20" s="150" t="s">
        <v>144</v>
      </c>
      <c r="E20" s="150"/>
      <c r="F20" s="150"/>
      <c r="G20" s="150"/>
      <c r="H20" s="150"/>
      <c r="I20" s="150"/>
      <c r="J20" s="150"/>
      <c r="K20" s="150"/>
      <c r="L20" s="150"/>
    </row>
    <row r="21" spans="1:23" ht="18.75" customHeight="1" x14ac:dyDescent="0.4">
      <c r="A21" s="16"/>
      <c r="B21" s="153" t="s">
        <v>113</v>
      </c>
      <c r="C21" s="153"/>
      <c r="D21" s="150" t="s">
        <v>158</v>
      </c>
      <c r="E21" s="150"/>
      <c r="F21" s="150"/>
      <c r="G21" s="150"/>
      <c r="H21" s="150"/>
      <c r="I21" s="150"/>
      <c r="J21" s="150"/>
      <c r="K21" s="150"/>
      <c r="L21" s="150"/>
    </row>
    <row r="22" spans="1:23" ht="18.75" customHeight="1" x14ac:dyDescent="0.4">
      <c r="A22" s="16"/>
      <c r="B22" s="153" t="s">
        <v>112</v>
      </c>
      <c r="C22" s="153"/>
      <c r="D22" s="150" t="s">
        <v>159</v>
      </c>
      <c r="E22" s="150"/>
      <c r="F22" s="150"/>
      <c r="G22" s="150"/>
      <c r="H22" s="150"/>
      <c r="I22" s="150"/>
      <c r="J22" s="150"/>
      <c r="K22" s="150"/>
      <c r="L22" s="150"/>
    </row>
    <row r="23" spans="1:23" ht="18.75" customHeight="1" x14ac:dyDescent="0.4">
      <c r="A23" s="153" t="s">
        <v>171</v>
      </c>
      <c r="B23" s="153"/>
      <c r="C23" s="153"/>
      <c r="D23" s="150" t="s">
        <v>177</v>
      </c>
      <c r="E23" s="150"/>
      <c r="F23" s="150"/>
      <c r="G23" s="150"/>
      <c r="H23" s="150"/>
      <c r="I23" s="150"/>
      <c r="J23" s="150"/>
      <c r="K23" s="150"/>
      <c r="L23" s="150"/>
    </row>
    <row r="24" spans="1:23" ht="18.75" customHeight="1" x14ac:dyDescent="0.4">
      <c r="A24" s="16" t="s">
        <v>109</v>
      </c>
      <c r="B24" s="150" t="s">
        <v>160</v>
      </c>
      <c r="C24" s="150"/>
      <c r="D24" s="150"/>
      <c r="E24" s="150"/>
      <c r="F24" s="150"/>
      <c r="G24" s="150"/>
      <c r="H24" s="150"/>
      <c r="I24" s="150"/>
      <c r="J24" s="150"/>
      <c r="K24" s="150"/>
      <c r="L24" s="150"/>
    </row>
    <row r="25" spans="1:23" ht="18.75" customHeight="1" x14ac:dyDescent="0.4">
      <c r="A25" s="16" t="s">
        <v>117</v>
      </c>
      <c r="B25" s="150" t="s">
        <v>172</v>
      </c>
      <c r="C25" s="150"/>
      <c r="D25" s="150"/>
      <c r="E25" s="150"/>
      <c r="F25" s="150"/>
      <c r="G25" s="150"/>
      <c r="H25" s="150"/>
      <c r="I25" s="150"/>
      <c r="J25" s="150"/>
      <c r="K25" s="150"/>
      <c r="L25" s="150"/>
    </row>
    <row r="26" spans="1:23" x14ac:dyDescent="0.4">
      <c r="A26" s="17"/>
      <c r="B26" s="150"/>
      <c r="C26" s="150"/>
      <c r="D26" s="150"/>
      <c r="E26" s="150"/>
      <c r="F26" s="150"/>
      <c r="G26" s="150"/>
      <c r="H26" s="150"/>
      <c r="I26" s="150"/>
      <c r="J26" s="150"/>
      <c r="K26" s="150"/>
      <c r="L26" s="150"/>
    </row>
    <row r="27" spans="1:23" ht="21" x14ac:dyDescent="0.4">
      <c r="A27" s="14" t="s">
        <v>147</v>
      </c>
      <c r="B27" s="15"/>
      <c r="C27" s="15"/>
      <c r="D27" s="15"/>
      <c r="E27" s="15"/>
      <c r="F27" s="15"/>
      <c r="G27" s="15"/>
      <c r="H27" s="15"/>
    </row>
    <row r="28" spans="1:23" ht="18.75" customHeight="1" x14ac:dyDescent="0.4">
      <c r="A28" s="16" t="s">
        <v>162</v>
      </c>
      <c r="B28" s="150" t="s">
        <v>163</v>
      </c>
      <c r="C28" s="150"/>
      <c r="D28" s="150"/>
      <c r="E28" s="150"/>
      <c r="F28" s="150"/>
      <c r="G28" s="150"/>
      <c r="H28" s="150"/>
      <c r="I28" s="150"/>
      <c r="J28" s="150"/>
      <c r="K28" s="150"/>
      <c r="L28" s="150"/>
      <c r="M28" s="127"/>
      <c r="N28" s="127"/>
      <c r="O28" s="127"/>
      <c r="P28" s="127"/>
      <c r="Q28" s="127"/>
      <c r="R28" s="127"/>
      <c r="S28" s="127"/>
      <c r="T28" s="127"/>
      <c r="U28" s="127"/>
      <c r="V28" s="127"/>
      <c r="W28" s="127"/>
    </row>
    <row r="29" spans="1:23" x14ac:dyDescent="0.4">
      <c r="A29" s="16" t="s">
        <v>106</v>
      </c>
      <c r="B29" s="150" t="s">
        <v>173</v>
      </c>
      <c r="C29" s="150"/>
      <c r="D29" s="150"/>
      <c r="E29" s="150"/>
      <c r="F29" s="150"/>
      <c r="G29" s="150"/>
      <c r="H29" s="150"/>
      <c r="I29" s="150"/>
      <c r="J29" s="150"/>
      <c r="K29" s="150"/>
      <c r="L29" s="150"/>
      <c r="M29" s="127"/>
      <c r="N29" s="127"/>
      <c r="O29" s="127"/>
      <c r="P29" s="127"/>
      <c r="Q29" s="127"/>
      <c r="R29" s="127"/>
      <c r="S29" s="127"/>
      <c r="T29" s="127"/>
      <c r="U29" s="127"/>
      <c r="V29" s="127"/>
      <c r="W29" s="127"/>
    </row>
    <row r="30" spans="1:23" x14ac:dyDescent="0.4">
      <c r="A30" s="17"/>
      <c r="B30" s="150"/>
      <c r="C30" s="150"/>
      <c r="D30" s="150"/>
      <c r="E30" s="150"/>
      <c r="F30" s="150"/>
      <c r="G30" s="150"/>
      <c r="H30" s="150"/>
      <c r="I30" s="150"/>
      <c r="J30" s="150"/>
      <c r="K30" s="150"/>
      <c r="L30" s="150"/>
      <c r="M30" s="127"/>
      <c r="N30" s="127"/>
      <c r="O30" s="127"/>
      <c r="P30" s="127"/>
      <c r="Q30" s="127"/>
      <c r="R30" s="127"/>
      <c r="S30" s="127"/>
      <c r="T30" s="127"/>
      <c r="U30" s="127"/>
      <c r="V30" s="127"/>
      <c r="W30" s="127"/>
    </row>
    <row r="31" spans="1:23" ht="18.75" customHeight="1" x14ac:dyDescent="0.4">
      <c r="A31" s="16" t="s">
        <v>176</v>
      </c>
      <c r="B31" s="150" t="s">
        <v>174</v>
      </c>
      <c r="C31" s="150"/>
      <c r="D31" s="150"/>
      <c r="E31" s="150"/>
      <c r="F31" s="150"/>
      <c r="G31" s="150"/>
      <c r="H31" s="150"/>
      <c r="I31" s="150"/>
      <c r="J31" s="150"/>
      <c r="K31" s="150"/>
      <c r="L31" s="150"/>
      <c r="M31" s="127"/>
      <c r="N31" s="127"/>
      <c r="O31" s="127"/>
      <c r="P31" s="127"/>
      <c r="Q31" s="127"/>
      <c r="R31" s="127"/>
      <c r="S31" s="127"/>
      <c r="T31" s="127"/>
      <c r="U31" s="127"/>
      <c r="V31" s="127"/>
      <c r="W31" s="127"/>
    </row>
    <row r="32" spans="1:23" x14ac:dyDescent="0.4">
      <c r="A32" s="16"/>
      <c r="B32" s="150"/>
      <c r="C32" s="150"/>
      <c r="D32" s="150"/>
      <c r="E32" s="150"/>
      <c r="F32" s="150"/>
      <c r="G32" s="150"/>
      <c r="H32" s="150"/>
      <c r="I32" s="150"/>
      <c r="J32" s="150"/>
      <c r="K32" s="150"/>
      <c r="L32" s="150"/>
      <c r="M32" s="127"/>
      <c r="N32" s="127"/>
      <c r="O32" s="127"/>
      <c r="P32" s="127"/>
      <c r="Q32" s="127"/>
      <c r="R32" s="127"/>
      <c r="S32" s="127"/>
      <c r="T32" s="127"/>
      <c r="U32" s="127"/>
      <c r="V32" s="127"/>
      <c r="W32" s="127"/>
    </row>
    <row r="33" spans="1:23" x14ac:dyDescent="0.4">
      <c r="A33" s="16"/>
      <c r="B33" s="150"/>
      <c r="C33" s="150"/>
      <c r="D33" s="150"/>
      <c r="E33" s="150"/>
      <c r="F33" s="150"/>
      <c r="G33" s="150"/>
      <c r="H33" s="150"/>
      <c r="I33" s="150"/>
      <c r="J33" s="150"/>
      <c r="K33" s="150"/>
      <c r="L33" s="150"/>
      <c r="M33" s="127"/>
      <c r="N33" s="127"/>
      <c r="O33" s="127"/>
      <c r="P33" s="127"/>
      <c r="Q33" s="127"/>
      <c r="R33" s="127"/>
      <c r="S33" s="127"/>
      <c r="T33" s="127"/>
      <c r="U33" s="127"/>
      <c r="V33" s="127"/>
      <c r="W33" s="127"/>
    </row>
    <row r="34" spans="1:23" ht="18.75" customHeight="1" x14ac:dyDescent="0.4">
      <c r="A34" s="16" t="s">
        <v>117</v>
      </c>
      <c r="B34" s="150" t="s">
        <v>175</v>
      </c>
      <c r="C34" s="150"/>
      <c r="D34" s="150"/>
      <c r="E34" s="150"/>
      <c r="F34" s="150"/>
      <c r="G34" s="150"/>
      <c r="H34" s="150"/>
      <c r="I34" s="150"/>
      <c r="J34" s="150"/>
      <c r="K34" s="150"/>
      <c r="L34" s="150"/>
      <c r="M34" s="127"/>
      <c r="N34" s="127"/>
      <c r="O34" s="127"/>
      <c r="P34" s="127"/>
      <c r="Q34" s="127"/>
      <c r="R34" s="127"/>
      <c r="S34" s="127"/>
      <c r="T34" s="127"/>
      <c r="U34" s="127"/>
      <c r="V34" s="127"/>
      <c r="W34" s="127"/>
    </row>
    <row r="35" spans="1:23" x14ac:dyDescent="0.4">
      <c r="A35" s="17"/>
      <c r="B35" s="150"/>
      <c r="C35" s="150"/>
      <c r="D35" s="150"/>
      <c r="E35" s="150"/>
      <c r="F35" s="150"/>
      <c r="G35" s="150"/>
      <c r="H35" s="150"/>
      <c r="I35" s="150"/>
      <c r="J35" s="150"/>
      <c r="K35" s="150"/>
      <c r="L35" s="150"/>
      <c r="M35" s="127"/>
      <c r="N35" s="127"/>
      <c r="O35" s="127"/>
      <c r="P35" s="127"/>
      <c r="Q35" s="127"/>
      <c r="R35" s="127"/>
      <c r="S35" s="127"/>
      <c r="T35" s="127"/>
      <c r="U35" s="127"/>
      <c r="V35" s="127"/>
      <c r="W35" s="127"/>
    </row>
    <row r="36" spans="1:23" x14ac:dyDescent="0.4">
      <c r="A36" s="17"/>
      <c r="B36" s="150"/>
      <c r="C36" s="150"/>
      <c r="D36" s="150"/>
      <c r="E36" s="150"/>
      <c r="F36" s="150"/>
      <c r="G36" s="150"/>
      <c r="H36" s="150"/>
      <c r="I36" s="150"/>
      <c r="J36" s="150"/>
      <c r="K36" s="150"/>
      <c r="L36" s="150"/>
      <c r="M36" s="128"/>
      <c r="N36" s="128"/>
      <c r="O36" s="128"/>
      <c r="P36" s="128"/>
      <c r="Q36" s="128"/>
      <c r="R36" s="128"/>
      <c r="S36" s="128"/>
      <c r="T36" s="128"/>
      <c r="U36" s="128"/>
      <c r="V36" s="128"/>
      <c r="W36" s="128"/>
    </row>
    <row r="37" spans="1:23" x14ac:dyDescent="0.4">
      <c r="A37" s="17"/>
      <c r="B37" s="150"/>
      <c r="C37" s="150"/>
      <c r="D37" s="150"/>
      <c r="E37" s="150"/>
      <c r="F37" s="150"/>
      <c r="G37" s="150"/>
      <c r="H37" s="150"/>
      <c r="I37" s="150"/>
      <c r="J37" s="150"/>
      <c r="K37" s="150"/>
      <c r="L37" s="150"/>
      <c r="M37" s="128"/>
      <c r="N37" s="128"/>
      <c r="O37" s="128"/>
      <c r="P37" s="128"/>
      <c r="Q37" s="128"/>
      <c r="R37" s="128"/>
      <c r="S37" s="128"/>
      <c r="T37" s="128"/>
      <c r="U37" s="128"/>
      <c r="V37" s="128"/>
      <c r="W37" s="128"/>
    </row>
    <row r="38" spans="1:23" ht="21" x14ac:dyDescent="0.4">
      <c r="A38" s="14" t="s">
        <v>180</v>
      </c>
    </row>
    <row r="39" spans="1:23" ht="18.75" customHeight="1" x14ac:dyDescent="0.4">
      <c r="A39" s="19" t="s">
        <v>115</v>
      </c>
      <c r="B39" s="150" t="s">
        <v>181</v>
      </c>
      <c r="C39" s="150"/>
      <c r="D39" s="150"/>
      <c r="E39" s="150"/>
      <c r="F39" s="150"/>
      <c r="G39" s="150"/>
      <c r="H39" s="150"/>
      <c r="I39" s="150"/>
      <c r="J39" s="150"/>
      <c r="K39" s="150"/>
      <c r="L39" s="150"/>
    </row>
    <row r="40" spans="1:23" ht="18.75" customHeight="1" x14ac:dyDescent="0.4">
      <c r="A40" s="19" t="s">
        <v>184</v>
      </c>
      <c r="B40" s="150" t="s">
        <v>188</v>
      </c>
      <c r="C40" s="150"/>
      <c r="D40" s="150"/>
      <c r="E40" s="150"/>
      <c r="F40" s="150"/>
      <c r="G40" s="150"/>
      <c r="H40" s="150"/>
      <c r="I40" s="150"/>
      <c r="J40" s="150"/>
      <c r="K40" s="150"/>
      <c r="L40" s="150"/>
    </row>
    <row r="41" spans="1:23" x14ac:dyDescent="0.4">
      <c r="A41" s="19" t="s">
        <v>185</v>
      </c>
      <c r="B41" s="150" t="s">
        <v>170</v>
      </c>
      <c r="C41" s="150"/>
      <c r="D41" s="150"/>
      <c r="E41" s="150"/>
      <c r="F41" s="150"/>
      <c r="G41" s="150"/>
      <c r="H41" s="150"/>
      <c r="I41" s="150"/>
      <c r="J41" s="150"/>
      <c r="K41" s="150"/>
      <c r="L41" s="150"/>
    </row>
    <row r="42" spans="1:23" ht="19.5" customHeight="1" x14ac:dyDescent="0.4">
      <c r="A42" s="19" t="s">
        <v>186</v>
      </c>
      <c r="B42" s="150" t="s">
        <v>169</v>
      </c>
      <c r="C42" s="150"/>
      <c r="D42" s="150"/>
      <c r="E42" s="150"/>
      <c r="F42" s="150"/>
      <c r="G42" s="150"/>
      <c r="H42" s="150"/>
      <c r="I42" s="150"/>
      <c r="J42" s="150"/>
      <c r="K42" s="150"/>
      <c r="L42" s="150"/>
    </row>
    <row r="43" spans="1:23" ht="18.75" customHeight="1" x14ac:dyDescent="0.4">
      <c r="A43" s="19" t="s">
        <v>182</v>
      </c>
      <c r="B43" s="150" t="s">
        <v>179</v>
      </c>
      <c r="C43" s="150"/>
      <c r="D43" s="150"/>
      <c r="E43" s="150"/>
      <c r="F43" s="150"/>
      <c r="G43" s="150"/>
      <c r="H43" s="150"/>
      <c r="I43" s="150"/>
      <c r="J43" s="150"/>
      <c r="K43" s="150"/>
      <c r="L43" s="150"/>
    </row>
    <row r="44" spans="1:23" ht="19.5" customHeight="1" x14ac:dyDescent="0.4">
      <c r="A44" s="19" t="s">
        <v>187</v>
      </c>
      <c r="B44" s="150" t="s">
        <v>183</v>
      </c>
      <c r="C44" s="150"/>
      <c r="D44" s="150"/>
      <c r="E44" s="150"/>
      <c r="F44" s="150"/>
      <c r="G44" s="150"/>
      <c r="H44" s="150"/>
      <c r="I44" s="150"/>
      <c r="J44" s="150"/>
      <c r="K44" s="150"/>
      <c r="L44" s="150"/>
    </row>
    <row r="45" spans="1:23" x14ac:dyDescent="0.4">
      <c r="A45" s="104"/>
      <c r="B45" s="104"/>
      <c r="C45" s="104"/>
      <c r="D45" s="104"/>
      <c r="E45" s="104"/>
      <c r="F45" s="104"/>
      <c r="G45" s="104"/>
      <c r="H45" s="105"/>
      <c r="I45" s="104"/>
      <c r="J45" s="16" t="s">
        <v>116</v>
      </c>
      <c r="K45" s="154" t="s">
        <v>189</v>
      </c>
      <c r="L45" s="154"/>
    </row>
  </sheetData>
  <sheetProtection password="CA83" sheet="1" selectLockedCells="1"/>
  <mergeCells count="32">
    <mergeCell ref="K45:L45"/>
    <mergeCell ref="B8:L9"/>
    <mergeCell ref="B11:L12"/>
    <mergeCell ref="B24:L24"/>
    <mergeCell ref="B25:L26"/>
    <mergeCell ref="B42:L42"/>
    <mergeCell ref="B43:L43"/>
    <mergeCell ref="B19:H19"/>
    <mergeCell ref="B13:L14"/>
    <mergeCell ref="B15:L16"/>
    <mergeCell ref="D20:L20"/>
    <mergeCell ref="D21:L21"/>
    <mergeCell ref="B21:C21"/>
    <mergeCell ref="B28:L28"/>
    <mergeCell ref="B39:L39"/>
    <mergeCell ref="B40:L40"/>
    <mergeCell ref="B41:L41"/>
    <mergeCell ref="B7:L7"/>
    <mergeCell ref="B1:K1"/>
    <mergeCell ref="B44:L44"/>
    <mergeCell ref="B18:L18"/>
    <mergeCell ref="B3:L3"/>
    <mergeCell ref="B20:C20"/>
    <mergeCell ref="D22:L22"/>
    <mergeCell ref="B22:C22"/>
    <mergeCell ref="D23:L23"/>
    <mergeCell ref="A23:C23"/>
    <mergeCell ref="B29:L30"/>
    <mergeCell ref="B31:L33"/>
    <mergeCell ref="B34:L37"/>
    <mergeCell ref="B4:L4"/>
    <mergeCell ref="B5:L5"/>
  </mergeCells>
  <phoneticPr fontId="2"/>
  <pageMargins left="0.7" right="0.7" top="0.75" bottom="0.75" header="0.3" footer="0.3"/>
  <pageSetup paperSize="9" scale="54"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F49"/>
  <sheetViews>
    <sheetView view="pageBreakPreview" zoomScale="85" zoomScaleNormal="100" zoomScaleSheetLayoutView="85" workbookViewId="0">
      <selection activeCell="H9" sqref="H9"/>
    </sheetView>
  </sheetViews>
  <sheetFormatPr defaultRowHeight="18.75" x14ac:dyDescent="0.4"/>
  <cols>
    <col min="1" max="1" width="8.125" style="1" customWidth="1"/>
    <col min="2" max="2" width="3.75" style="1" customWidth="1"/>
    <col min="3" max="4" width="13.625" style="1" customWidth="1"/>
    <col min="5" max="5" width="13.75" style="2" customWidth="1"/>
    <col min="6" max="9" width="13.75" style="1" customWidth="1"/>
    <col min="10" max="10" width="8.75" style="1" customWidth="1"/>
    <col min="11" max="11" width="11.25" style="103" customWidth="1"/>
    <col min="12" max="27" width="11.25" style="12" customWidth="1"/>
    <col min="28" max="30" width="11.125" style="1" customWidth="1"/>
    <col min="31" max="32" width="11.125" style="3" customWidth="1"/>
    <col min="33" max="33" width="10" style="3" customWidth="1"/>
    <col min="34" max="37" width="5.625" style="3" customWidth="1"/>
    <col min="38" max="38" width="5.5" style="3" customWidth="1"/>
    <col min="39" max="49" width="5.625" style="3" customWidth="1"/>
    <col min="50" max="16384" width="9" style="1"/>
  </cols>
  <sheetData>
    <row r="1" spans="1:58" ht="23.25" customHeight="1" x14ac:dyDescent="0.4">
      <c r="A1" s="118" t="s">
        <v>154</v>
      </c>
      <c r="B1" s="52"/>
      <c r="C1" s="52"/>
      <c r="D1" s="52"/>
      <c r="E1" s="65"/>
      <c r="F1" s="52"/>
      <c r="G1" s="52"/>
      <c r="H1" s="52"/>
      <c r="I1" s="52"/>
      <c r="J1" s="52"/>
      <c r="K1" s="92"/>
      <c r="L1" s="130"/>
      <c r="M1" s="130"/>
      <c r="N1" s="131"/>
      <c r="O1" s="131"/>
      <c r="P1" s="131"/>
      <c r="Q1" s="131"/>
      <c r="R1" s="131"/>
      <c r="S1" s="131"/>
      <c r="T1" s="131"/>
      <c r="U1" s="51"/>
      <c r="V1" s="51"/>
      <c r="W1" s="42"/>
      <c r="X1" s="51"/>
      <c r="Y1" s="51"/>
      <c r="Z1" s="51"/>
      <c r="AA1" s="51"/>
      <c r="AB1" s="52"/>
      <c r="AC1" s="52"/>
      <c r="AD1" s="52"/>
      <c r="AE1" s="53"/>
      <c r="AF1" s="53"/>
      <c r="AG1" s="53"/>
      <c r="AH1" s="23"/>
      <c r="AI1" s="10"/>
      <c r="AJ1" s="10"/>
    </row>
    <row r="2" spans="1:58" ht="22.5" customHeight="1" x14ac:dyDescent="0.4">
      <c r="A2" s="52"/>
      <c r="B2" s="157" t="s">
        <v>0</v>
      </c>
      <c r="C2" s="157"/>
      <c r="D2" s="157"/>
      <c r="E2" s="157"/>
      <c r="F2" s="157"/>
      <c r="G2" s="157"/>
      <c r="H2" s="157"/>
      <c r="I2" s="157"/>
      <c r="J2" s="157"/>
      <c r="K2" s="91"/>
      <c r="L2" s="132"/>
      <c r="M2" s="133"/>
      <c r="N2" s="134"/>
      <c r="O2" s="134"/>
      <c r="P2" s="134"/>
      <c r="Q2" s="134"/>
      <c r="R2" s="134"/>
      <c r="S2" s="134"/>
      <c r="T2" s="134"/>
      <c r="U2" s="54"/>
      <c r="V2" s="54"/>
      <c r="W2" s="43"/>
      <c r="X2" s="54"/>
      <c r="Y2" s="54"/>
      <c r="Z2" s="54"/>
      <c r="AA2" s="54"/>
      <c r="AB2" s="55"/>
      <c r="AC2" s="55"/>
      <c r="AD2" s="55"/>
      <c r="AE2" s="56"/>
      <c r="AF2" s="56"/>
      <c r="AG2" s="56"/>
      <c r="AH2" s="23"/>
      <c r="AI2" s="23"/>
      <c r="AJ2" s="23"/>
    </row>
    <row r="3" spans="1:58" ht="14.25" customHeight="1" thickBot="1" x14ac:dyDescent="0.45">
      <c r="A3" s="52"/>
      <c r="B3" s="52"/>
      <c r="C3" s="52"/>
      <c r="D3" s="111"/>
      <c r="E3" s="111"/>
      <c r="F3" s="111"/>
      <c r="G3" s="111"/>
      <c r="H3" s="111"/>
      <c r="I3" s="116"/>
      <c r="J3" s="111"/>
      <c r="K3" s="91"/>
      <c r="L3" s="132"/>
      <c r="M3" s="134"/>
      <c r="N3" s="134"/>
      <c r="O3" s="134"/>
      <c r="P3" s="134"/>
      <c r="Q3" s="134"/>
      <c r="R3" s="134"/>
      <c r="S3" s="134"/>
      <c r="T3" s="134"/>
      <c r="U3" s="54"/>
      <c r="V3" s="54"/>
      <c r="W3" s="43"/>
      <c r="X3" s="54"/>
      <c r="Y3" s="54"/>
      <c r="Z3" s="54"/>
      <c r="AA3" s="54"/>
      <c r="AB3" s="55"/>
      <c r="AC3" s="55"/>
      <c r="AD3" s="55"/>
      <c r="AE3" s="57"/>
      <c r="AF3" s="57"/>
      <c r="AG3" s="56"/>
      <c r="AH3" s="23"/>
      <c r="AI3" s="23"/>
      <c r="AJ3" s="23"/>
    </row>
    <row r="4" spans="1:58" ht="22.5" customHeight="1" thickTop="1" thickBot="1" x14ac:dyDescent="0.45">
      <c r="A4" s="80"/>
      <c r="B4" s="80"/>
      <c r="C4" s="80"/>
      <c r="D4" s="82" t="s">
        <v>5</v>
      </c>
      <c r="E4" s="122"/>
      <c r="F4" s="80"/>
      <c r="G4" s="52"/>
      <c r="H4" s="83" t="s">
        <v>122</v>
      </c>
      <c r="I4" s="84" t="str">
        <f>IF(COUNT(M23:O25),"要事前相談",IF(Q29=0,"ー",IF(Q29&gt;1,"許容量超過","許容量内")))</f>
        <v>ー</v>
      </c>
      <c r="J4" s="114" t="str">
        <f>IFERROR(IF(Q29&gt;1,"",IF(FIND("※事前相談",K8&amp;K9&amp;K23&amp;K24&amp;K25),"※事前相談")),"")</f>
        <v/>
      </c>
      <c r="K4" s="115"/>
      <c r="L4" s="135"/>
      <c r="M4" s="136"/>
      <c r="N4" s="136"/>
      <c r="O4" s="136"/>
      <c r="P4" s="136"/>
      <c r="Q4" s="136"/>
      <c r="R4" s="136"/>
      <c r="S4" s="136"/>
      <c r="T4" s="136"/>
      <c r="U4" s="58"/>
      <c r="V4" s="58"/>
      <c r="W4" s="44"/>
      <c r="X4" s="58"/>
      <c r="Y4" s="58"/>
      <c r="Z4" s="58"/>
      <c r="AA4" s="58"/>
      <c r="AB4" s="52"/>
      <c r="AC4" s="59"/>
      <c r="AD4" s="55"/>
      <c r="AE4" s="56"/>
      <c r="AF4" s="56"/>
      <c r="AG4" s="56"/>
      <c r="AH4" s="23"/>
      <c r="AI4" s="23"/>
      <c r="AJ4" s="23"/>
    </row>
    <row r="5" spans="1:58" ht="15" customHeight="1" thickTop="1" x14ac:dyDescent="0.4">
      <c r="A5" s="80"/>
      <c r="B5" s="80"/>
      <c r="C5" s="80"/>
      <c r="D5" s="85"/>
      <c r="E5" s="87"/>
      <c r="F5" s="80"/>
      <c r="G5" s="86"/>
      <c r="H5" s="86"/>
      <c r="I5" s="93" t="str">
        <f>IF(COUNT(G23:I25)&gt;=1,"※放射性物質等荷役","")</f>
        <v/>
      </c>
      <c r="J5" s="88"/>
      <c r="K5" s="94"/>
      <c r="L5" s="136"/>
      <c r="M5" s="136"/>
      <c r="N5" s="136"/>
      <c r="O5" s="136"/>
      <c r="P5" s="136"/>
      <c r="Q5" s="136"/>
      <c r="R5" s="136"/>
      <c r="S5" s="136"/>
      <c r="T5" s="136"/>
      <c r="U5" s="58"/>
      <c r="V5" s="58"/>
      <c r="W5" s="44"/>
      <c r="X5" s="58"/>
      <c r="Y5" s="58"/>
      <c r="Z5" s="58"/>
      <c r="AA5" s="58"/>
      <c r="AB5" s="52"/>
      <c r="AC5" s="59"/>
      <c r="AD5" s="55"/>
      <c r="AE5" s="56"/>
      <c r="AF5" s="56"/>
      <c r="AG5" s="56"/>
      <c r="AH5" s="23"/>
      <c r="AI5" s="23"/>
      <c r="AJ5" s="23"/>
    </row>
    <row r="6" spans="1:58" ht="22.5" customHeight="1" x14ac:dyDescent="0.4">
      <c r="A6" s="80"/>
      <c r="B6" s="80"/>
      <c r="C6" s="80"/>
      <c r="D6" s="80"/>
      <c r="E6" s="78"/>
      <c r="F6" s="117" t="s">
        <v>149</v>
      </c>
      <c r="G6" s="89"/>
      <c r="H6" s="80"/>
      <c r="I6" s="80"/>
      <c r="J6" s="80"/>
      <c r="K6" s="95"/>
      <c r="L6" s="130"/>
      <c r="M6" s="131" t="s">
        <v>137</v>
      </c>
      <c r="N6" s="131" t="s">
        <v>138</v>
      </c>
      <c r="O6" s="131" t="s">
        <v>139</v>
      </c>
      <c r="P6" s="131" t="s">
        <v>140</v>
      </c>
      <c r="Q6" s="131" t="s">
        <v>141</v>
      </c>
      <c r="R6" s="131" t="s">
        <v>142</v>
      </c>
      <c r="S6" s="131"/>
      <c r="T6" s="131"/>
      <c r="U6" s="51"/>
      <c r="V6" s="51"/>
      <c r="W6" s="42"/>
      <c r="X6" s="51"/>
      <c r="Y6" s="51"/>
      <c r="Z6" s="51"/>
      <c r="AA6" s="51"/>
      <c r="AB6" s="52"/>
      <c r="AC6" s="52"/>
      <c r="AD6" s="52"/>
      <c r="AE6" s="52"/>
      <c r="AF6" s="52"/>
      <c r="AG6" s="52"/>
      <c r="AH6" s="24"/>
      <c r="AI6" s="24"/>
      <c r="AJ6" s="24"/>
      <c r="AK6" s="1"/>
      <c r="AL6" s="1"/>
      <c r="AM6" s="1"/>
      <c r="AN6" s="1"/>
      <c r="AO6" s="4"/>
      <c r="AP6" s="4"/>
      <c r="AQ6" s="4"/>
      <c r="AR6" s="4"/>
      <c r="AS6" s="4"/>
      <c r="AT6" s="4"/>
      <c r="AU6" s="4"/>
      <c r="AV6" s="4"/>
      <c r="AW6" s="4"/>
      <c r="AX6" s="4"/>
      <c r="AY6" s="4"/>
      <c r="AZ6" s="4"/>
      <c r="BA6" s="4"/>
      <c r="BB6" s="4"/>
      <c r="BC6" s="4"/>
      <c r="BD6" s="4"/>
      <c r="BE6" s="4"/>
      <c r="BF6" s="4"/>
    </row>
    <row r="7" spans="1:58" ht="22.5" customHeight="1" x14ac:dyDescent="0.4">
      <c r="A7" s="80"/>
      <c r="B7" s="158" t="s">
        <v>1</v>
      </c>
      <c r="C7" s="159"/>
      <c r="D7" s="160"/>
      <c r="E7" s="70" t="s">
        <v>26</v>
      </c>
      <c r="F7" s="71" t="s">
        <v>24</v>
      </c>
      <c r="G7" s="71" t="s">
        <v>150</v>
      </c>
      <c r="H7" s="72" t="s">
        <v>120</v>
      </c>
      <c r="I7" s="72" t="s">
        <v>121</v>
      </c>
      <c r="J7" s="71" t="s">
        <v>99</v>
      </c>
      <c r="K7" s="96"/>
      <c r="L7" s="137"/>
      <c r="M7" s="138" t="s">
        <v>152</v>
      </c>
      <c r="N7" s="138" t="s">
        <v>151</v>
      </c>
      <c r="O7" s="138" t="s">
        <v>153</v>
      </c>
      <c r="P7" s="139" t="s">
        <v>133</v>
      </c>
      <c r="Q7" s="139" t="s">
        <v>133</v>
      </c>
      <c r="R7" s="139" t="s">
        <v>136</v>
      </c>
      <c r="S7" s="140"/>
      <c r="T7" s="140"/>
      <c r="U7" s="60"/>
      <c r="V7" s="60"/>
      <c r="W7" s="113"/>
      <c r="X7" s="60"/>
      <c r="Y7" s="60"/>
      <c r="Z7" s="60"/>
      <c r="AA7" s="60"/>
      <c r="AB7" s="61"/>
      <c r="AC7" s="61"/>
      <c r="AD7" s="62"/>
      <c r="AE7" s="61"/>
      <c r="AF7" s="61"/>
      <c r="AG7" s="52"/>
      <c r="AH7" s="24"/>
      <c r="AI7" s="24"/>
      <c r="AJ7" s="24"/>
      <c r="AK7" s="1"/>
      <c r="AL7" s="1"/>
      <c r="AM7" s="1"/>
      <c r="AN7" s="1"/>
      <c r="AO7" s="5"/>
      <c r="AP7" s="6"/>
      <c r="AQ7" s="6"/>
      <c r="AR7" s="7"/>
      <c r="AS7" s="7"/>
      <c r="AT7" s="7"/>
      <c r="AU7" s="7"/>
      <c r="AV7" s="8"/>
      <c r="AW7" s="8"/>
      <c r="AX7" s="8"/>
      <c r="AY7" s="8"/>
      <c r="AZ7" s="8"/>
      <c r="BA7" s="8"/>
      <c r="BB7" s="8"/>
      <c r="BC7" s="8"/>
      <c r="BD7" s="8"/>
      <c r="BE7" s="8"/>
      <c r="BF7" s="8"/>
    </row>
    <row r="8" spans="1:58" ht="22.5" customHeight="1" x14ac:dyDescent="0.4">
      <c r="A8" s="80"/>
      <c r="B8" s="161" t="s">
        <v>119</v>
      </c>
      <c r="C8" s="164" t="s">
        <v>4</v>
      </c>
      <c r="D8" s="165"/>
      <c r="E8" s="123" t="s">
        <v>2</v>
      </c>
      <c r="F8" s="123" t="str">
        <f>IF($E$4="","",VLOOKUP($E$4,$B$31:$V$34,2,0))</f>
        <v/>
      </c>
      <c r="G8" s="121"/>
      <c r="H8" s="121"/>
      <c r="I8" s="121"/>
      <c r="J8" s="90" t="str">
        <f t="shared" ref="J8:J27" si="0">R8</f>
        <v>-</v>
      </c>
      <c r="K8" s="51" t="str">
        <f>IFERROR(IF(F8=0,"※荷役不可","")&amp;IF(P8&gt;1,"※許容量超過",IF(AND(G8&gt;=0.025,G8&lt;=F8),"※事前相談","")),"")</f>
        <v/>
      </c>
      <c r="L8" s="141"/>
      <c r="M8" s="142" t="str">
        <f>IF($G8="","",$G8/$F8)</f>
        <v/>
      </c>
      <c r="N8" s="142" t="str">
        <f>IF($H8="","",$H8/($F8*2))</f>
        <v/>
      </c>
      <c r="O8" s="142" t="str">
        <f>IF($I8="","",$I8/($F8*5))</f>
        <v/>
      </c>
      <c r="P8" s="143">
        <f>IFERROR(SUM(M8:O8),0)</f>
        <v>0</v>
      </c>
      <c r="Q8" s="143">
        <f>SUM(M8:O8)</f>
        <v>0</v>
      </c>
      <c r="R8" s="144" t="str">
        <f>IFERROR(IF(F8=0,"×",IF(P8=0,"-",IF(P8&gt;1,"×","〇"))),"")</f>
        <v>-</v>
      </c>
      <c r="S8" s="131"/>
      <c r="T8" s="131"/>
      <c r="U8" s="51"/>
      <c r="V8" s="51"/>
      <c r="W8" s="119"/>
      <c r="X8" s="63"/>
      <c r="Y8" s="63"/>
      <c r="Z8" s="63"/>
      <c r="AA8" s="63"/>
      <c r="AH8" s="24"/>
      <c r="AI8" s="24"/>
      <c r="AJ8" s="24"/>
      <c r="AK8" s="11"/>
      <c r="AL8" s="11"/>
      <c r="AM8" s="11"/>
      <c r="AN8" s="11"/>
      <c r="AO8" s="5"/>
      <c r="AP8" s="9"/>
      <c r="AQ8" s="6"/>
      <c r="AR8" s="9"/>
      <c r="AS8" s="9"/>
      <c r="AT8" s="9"/>
      <c r="AU8" s="9"/>
      <c r="AV8" s="8"/>
      <c r="AW8" s="8"/>
      <c r="AX8" s="8"/>
      <c r="AY8" s="8"/>
      <c r="AZ8" s="8"/>
      <c r="BA8" s="8"/>
      <c r="BB8" s="8"/>
      <c r="BC8" s="8"/>
      <c r="BD8" s="8"/>
      <c r="BE8" s="8"/>
      <c r="BF8" s="8"/>
    </row>
    <row r="9" spans="1:58" ht="22.5" customHeight="1" x14ac:dyDescent="0.4">
      <c r="A9" s="80"/>
      <c r="B9" s="162"/>
      <c r="C9" s="164" t="s">
        <v>4</v>
      </c>
      <c r="D9" s="165"/>
      <c r="E9" s="123" t="s">
        <v>6</v>
      </c>
      <c r="F9" s="123" t="str">
        <f>IF($E$4="","",VLOOKUP($E$4,$B$31:$V$34,3,0))</f>
        <v/>
      </c>
      <c r="G9" s="121"/>
      <c r="H9" s="121"/>
      <c r="I9" s="121"/>
      <c r="J9" s="90" t="str">
        <f t="shared" si="0"/>
        <v>-</v>
      </c>
      <c r="K9" s="51" t="str">
        <f>IFERROR(IF(P9&gt;1,"※許容量超過",IF(AND(G9&gt;=1,G9&lt;=F9),"※事前相談","")),"")</f>
        <v/>
      </c>
      <c r="L9" s="141"/>
      <c r="M9" s="142" t="str">
        <f t="shared" ref="M9:M22" si="1">IF($G9="","",$G9/$F9)</f>
        <v/>
      </c>
      <c r="N9" s="142" t="str">
        <f t="shared" ref="N9:N22" si="2">IF($H9="","",$H9/($F9*2))</f>
        <v/>
      </c>
      <c r="O9" s="142" t="str">
        <f t="shared" ref="O9:O22" si="3">IF($I9="","",$I9/($F9*5))</f>
        <v/>
      </c>
      <c r="P9" s="143">
        <f t="shared" ref="P9:P22" si="4">IFERROR(SUM(M9:O9),0)</f>
        <v>0</v>
      </c>
      <c r="Q9" s="143">
        <f t="shared" ref="Q9:Q22" si="5">SUM(M9:O9)</f>
        <v>0</v>
      </c>
      <c r="R9" s="144" t="str">
        <f>IFERROR(IF(F9=0,"×",IF(P9=0,"-",IF(P9&gt;1,"×","〇"))),"")</f>
        <v>-</v>
      </c>
      <c r="S9" s="131"/>
      <c r="T9" s="131"/>
      <c r="U9" s="51"/>
      <c r="V9" s="51"/>
      <c r="W9" s="120"/>
      <c r="X9" s="64"/>
      <c r="Y9" s="64"/>
      <c r="Z9" s="64"/>
      <c r="AA9" s="64"/>
      <c r="AH9" s="24"/>
      <c r="AI9" s="24"/>
      <c r="AJ9" s="24"/>
      <c r="AK9" s="11"/>
      <c r="AL9" s="11"/>
      <c r="AM9" s="11"/>
      <c r="AN9" s="11"/>
      <c r="AO9" s="5"/>
      <c r="AP9" s="8"/>
      <c r="AQ9" s="8"/>
      <c r="AR9" s="8"/>
      <c r="AS9" s="8"/>
      <c r="AT9" s="8"/>
      <c r="AU9" s="8"/>
      <c r="AV9" s="8"/>
      <c r="AW9" s="8"/>
      <c r="AX9" s="8"/>
      <c r="AY9" s="8"/>
      <c r="AZ9" s="8"/>
      <c r="BA9" s="8"/>
      <c r="BB9" s="8"/>
      <c r="BC9" s="8"/>
      <c r="BD9" s="8"/>
      <c r="BE9" s="8"/>
      <c r="BF9" s="8"/>
    </row>
    <row r="10" spans="1:58" ht="22.5" customHeight="1" x14ac:dyDescent="0.4">
      <c r="A10" s="80"/>
      <c r="B10" s="163"/>
      <c r="C10" s="73" t="s">
        <v>12</v>
      </c>
      <c r="D10" s="74" t="s">
        <v>8</v>
      </c>
      <c r="E10" s="123">
        <v>5.2</v>
      </c>
      <c r="F10" s="123" t="str">
        <f>IF($E$4="","",VLOOKUP($E$4,$B$31:$V$34,4,0))</f>
        <v/>
      </c>
      <c r="G10" s="121"/>
      <c r="H10" s="121"/>
      <c r="I10" s="121"/>
      <c r="J10" s="90" t="str">
        <f t="shared" si="0"/>
        <v>-</v>
      </c>
      <c r="K10" s="92" t="str">
        <f t="shared" ref="K10:K22" si="6">IF(P10&gt;1,"※許容量超過","")</f>
        <v/>
      </c>
      <c r="L10" s="141"/>
      <c r="M10" s="142" t="str">
        <f t="shared" si="1"/>
        <v/>
      </c>
      <c r="N10" s="142" t="str">
        <f t="shared" si="2"/>
        <v/>
      </c>
      <c r="O10" s="142" t="str">
        <f t="shared" si="3"/>
        <v/>
      </c>
      <c r="P10" s="143">
        <f t="shared" si="4"/>
        <v>0</v>
      </c>
      <c r="Q10" s="143">
        <f t="shared" si="5"/>
        <v>0</v>
      </c>
      <c r="R10" s="144" t="str">
        <f t="shared" ref="R10:R22" si="7">IFERROR(IF(F10=0,"×",IF(P10=0,"-",IF(P10&gt;1,"×","〇"))),"")</f>
        <v>-</v>
      </c>
      <c r="S10" s="131"/>
      <c r="T10" s="131"/>
      <c r="U10" s="51"/>
      <c r="V10" s="51"/>
      <c r="W10" s="120"/>
      <c r="X10" s="64"/>
      <c r="Y10" s="64"/>
      <c r="Z10" s="64"/>
      <c r="AA10" s="64"/>
      <c r="AH10" s="24"/>
      <c r="AI10" s="24"/>
      <c r="AJ10" s="24"/>
      <c r="AK10" s="11"/>
      <c r="AL10" s="11"/>
      <c r="AM10" s="11"/>
      <c r="AN10" s="11"/>
      <c r="AO10" s="5"/>
      <c r="AP10" s="8"/>
      <c r="AQ10" s="8"/>
      <c r="AR10" s="8"/>
      <c r="AS10" s="8"/>
      <c r="AT10" s="8"/>
      <c r="AU10" s="8"/>
      <c r="AV10" s="8"/>
      <c r="AW10" s="8"/>
      <c r="AX10" s="8"/>
      <c r="AY10" s="8"/>
      <c r="AZ10" s="8"/>
      <c r="BA10" s="8"/>
      <c r="BB10" s="8"/>
      <c r="BC10" s="8"/>
      <c r="BD10" s="8"/>
      <c r="BE10" s="8"/>
      <c r="BF10" s="8"/>
    </row>
    <row r="11" spans="1:58" ht="22.5" customHeight="1" x14ac:dyDescent="0.4">
      <c r="A11" s="80"/>
      <c r="B11" s="161" t="s">
        <v>118</v>
      </c>
      <c r="C11" s="155" t="s">
        <v>44</v>
      </c>
      <c r="D11" s="71" t="s">
        <v>9</v>
      </c>
      <c r="E11" s="124">
        <v>2.1</v>
      </c>
      <c r="F11" s="123" t="str">
        <f>IF($E$4="","",VLOOKUP($E$4,$B$31:$V$34,5,0))</f>
        <v/>
      </c>
      <c r="G11" s="121"/>
      <c r="H11" s="121"/>
      <c r="I11" s="121"/>
      <c r="J11" s="90" t="str">
        <f t="shared" si="0"/>
        <v>-</v>
      </c>
      <c r="K11" s="92" t="str">
        <f t="shared" si="6"/>
        <v/>
      </c>
      <c r="L11" s="141"/>
      <c r="M11" s="142" t="str">
        <f t="shared" si="1"/>
        <v/>
      </c>
      <c r="N11" s="142" t="str">
        <f t="shared" si="2"/>
        <v/>
      </c>
      <c r="O11" s="142" t="str">
        <f t="shared" si="3"/>
        <v/>
      </c>
      <c r="P11" s="143">
        <f t="shared" si="4"/>
        <v>0</v>
      </c>
      <c r="Q11" s="143">
        <f t="shared" si="5"/>
        <v>0</v>
      </c>
      <c r="R11" s="144" t="str">
        <f t="shared" si="7"/>
        <v>-</v>
      </c>
      <c r="S11" s="131"/>
      <c r="T11" s="131"/>
      <c r="U11" s="51"/>
      <c r="V11" s="51"/>
      <c r="W11" s="120"/>
      <c r="X11" s="64"/>
      <c r="Y11" s="64"/>
      <c r="Z11" s="64"/>
      <c r="AA11" s="64"/>
      <c r="AH11" s="24"/>
      <c r="AI11" s="24"/>
      <c r="AJ11" s="31"/>
      <c r="AK11" s="20"/>
      <c r="AL11" s="20"/>
      <c r="AM11" s="10"/>
      <c r="AN11" s="10"/>
      <c r="AO11" s="10"/>
    </row>
    <row r="12" spans="1:58" ht="22.5" customHeight="1" x14ac:dyDescent="0.4">
      <c r="A12" s="80"/>
      <c r="B12" s="162"/>
      <c r="C12" s="155"/>
      <c r="D12" s="75" t="s">
        <v>101</v>
      </c>
      <c r="E12" s="125">
        <v>2.2000000000000002</v>
      </c>
      <c r="F12" s="123" t="str">
        <f>IF($E$4="","",VLOOKUP($E$4,$B$31:$V$34,6,0))</f>
        <v/>
      </c>
      <c r="G12" s="121"/>
      <c r="H12" s="121"/>
      <c r="I12" s="121"/>
      <c r="J12" s="90" t="str">
        <f t="shared" si="0"/>
        <v>-</v>
      </c>
      <c r="K12" s="92" t="str">
        <f t="shared" si="6"/>
        <v/>
      </c>
      <c r="L12" s="141"/>
      <c r="M12" s="142" t="str">
        <f t="shared" si="1"/>
        <v/>
      </c>
      <c r="N12" s="142" t="str">
        <f t="shared" si="2"/>
        <v/>
      </c>
      <c r="O12" s="142" t="str">
        <f t="shared" si="3"/>
        <v/>
      </c>
      <c r="P12" s="143">
        <f t="shared" si="4"/>
        <v>0</v>
      </c>
      <c r="Q12" s="143">
        <f t="shared" si="5"/>
        <v>0</v>
      </c>
      <c r="R12" s="144" t="str">
        <f t="shared" si="7"/>
        <v>-</v>
      </c>
      <c r="S12" s="131"/>
      <c r="T12" s="131"/>
      <c r="U12" s="51"/>
      <c r="V12" s="51"/>
      <c r="W12" s="120"/>
      <c r="X12" s="64"/>
      <c r="Y12" s="64"/>
      <c r="Z12" s="64"/>
      <c r="AA12" s="64"/>
      <c r="AH12" s="24"/>
      <c r="AI12" s="24"/>
      <c r="AJ12" s="40"/>
      <c r="AK12" s="21"/>
      <c r="AL12" s="21"/>
      <c r="AM12" s="10"/>
      <c r="AN12" s="10"/>
      <c r="AO12" s="10"/>
    </row>
    <row r="13" spans="1:58" ht="22.5" customHeight="1" x14ac:dyDescent="0.4">
      <c r="A13" s="80"/>
      <c r="B13" s="162"/>
      <c r="C13" s="155"/>
      <c r="D13" s="71" t="s">
        <v>10</v>
      </c>
      <c r="E13" s="124">
        <v>2.2999999999999998</v>
      </c>
      <c r="F13" s="123" t="str">
        <f>IF($E$4="","",VLOOKUP($E$4,$B$31:$V$34,7,0))</f>
        <v/>
      </c>
      <c r="G13" s="121"/>
      <c r="H13" s="121"/>
      <c r="I13" s="121"/>
      <c r="J13" s="90" t="str">
        <f t="shared" si="0"/>
        <v>-</v>
      </c>
      <c r="K13" s="92" t="str">
        <f t="shared" si="6"/>
        <v/>
      </c>
      <c r="L13" s="141"/>
      <c r="M13" s="142" t="str">
        <f t="shared" si="1"/>
        <v/>
      </c>
      <c r="N13" s="142" t="str">
        <f t="shared" si="2"/>
        <v/>
      </c>
      <c r="O13" s="142" t="str">
        <f t="shared" si="3"/>
        <v/>
      </c>
      <c r="P13" s="143">
        <f t="shared" si="4"/>
        <v>0</v>
      </c>
      <c r="Q13" s="143">
        <f t="shared" si="5"/>
        <v>0</v>
      </c>
      <c r="R13" s="144" t="str">
        <f t="shared" si="7"/>
        <v>-</v>
      </c>
      <c r="S13" s="131"/>
      <c r="T13" s="131"/>
      <c r="U13" s="51"/>
      <c r="V13" s="51"/>
      <c r="W13" s="120"/>
      <c r="X13" s="64"/>
      <c r="Y13" s="64"/>
      <c r="Z13" s="64"/>
      <c r="AA13" s="64"/>
      <c r="AH13" s="24"/>
      <c r="AI13" s="24"/>
      <c r="AJ13" s="41"/>
      <c r="AK13" s="22"/>
      <c r="AL13" s="22"/>
      <c r="AM13" s="10"/>
      <c r="AN13" s="10"/>
      <c r="AO13" s="10"/>
    </row>
    <row r="14" spans="1:58" ht="22.5" customHeight="1" x14ac:dyDescent="0.4">
      <c r="A14" s="80"/>
      <c r="B14" s="162"/>
      <c r="C14" s="155" t="s">
        <v>125</v>
      </c>
      <c r="D14" s="71" t="s">
        <v>16</v>
      </c>
      <c r="E14" s="124">
        <v>3.1</v>
      </c>
      <c r="F14" s="123" t="str">
        <f>IF($E$4="","",VLOOKUP($E$4,$B$31:$V$34,8,0))</f>
        <v/>
      </c>
      <c r="G14" s="121"/>
      <c r="H14" s="121"/>
      <c r="I14" s="121"/>
      <c r="J14" s="90" t="str">
        <f t="shared" si="0"/>
        <v>-</v>
      </c>
      <c r="K14" s="92" t="str">
        <f t="shared" si="6"/>
        <v/>
      </c>
      <c r="L14" s="141"/>
      <c r="M14" s="142" t="str">
        <f t="shared" si="1"/>
        <v/>
      </c>
      <c r="N14" s="142" t="str">
        <f t="shared" si="2"/>
        <v/>
      </c>
      <c r="O14" s="142" t="str">
        <f t="shared" si="3"/>
        <v/>
      </c>
      <c r="P14" s="143">
        <f t="shared" si="4"/>
        <v>0</v>
      </c>
      <c r="Q14" s="143">
        <f t="shared" si="5"/>
        <v>0</v>
      </c>
      <c r="R14" s="144" t="str">
        <f t="shared" si="7"/>
        <v>-</v>
      </c>
      <c r="S14" s="131"/>
      <c r="T14" s="131"/>
      <c r="U14" s="51"/>
      <c r="V14" s="51"/>
      <c r="W14" s="120"/>
      <c r="X14" s="64"/>
      <c r="Y14" s="64"/>
      <c r="Z14" s="64"/>
      <c r="AA14" s="64"/>
      <c r="AH14" s="24"/>
      <c r="AI14" s="24"/>
      <c r="AJ14" s="31"/>
      <c r="AK14" s="20"/>
      <c r="AL14" s="20"/>
      <c r="AM14" s="10"/>
      <c r="AN14" s="10"/>
      <c r="AO14" s="10"/>
    </row>
    <row r="15" spans="1:58" ht="22.5" customHeight="1" x14ac:dyDescent="0.4">
      <c r="A15" s="80"/>
      <c r="B15" s="162"/>
      <c r="C15" s="155"/>
      <c r="D15" s="71" t="s">
        <v>17</v>
      </c>
      <c r="E15" s="124">
        <v>3.2</v>
      </c>
      <c r="F15" s="123" t="str">
        <f>IF($E$4="","",VLOOKUP($E$4,$B$31:$V$34,9,0))</f>
        <v/>
      </c>
      <c r="G15" s="121"/>
      <c r="H15" s="121"/>
      <c r="I15" s="121"/>
      <c r="J15" s="90" t="str">
        <f t="shared" si="0"/>
        <v>-</v>
      </c>
      <c r="K15" s="92" t="str">
        <f t="shared" si="6"/>
        <v/>
      </c>
      <c r="L15" s="141"/>
      <c r="M15" s="142" t="str">
        <f t="shared" si="1"/>
        <v/>
      </c>
      <c r="N15" s="142" t="str">
        <f t="shared" si="2"/>
        <v/>
      </c>
      <c r="O15" s="142" t="str">
        <f t="shared" si="3"/>
        <v/>
      </c>
      <c r="P15" s="143">
        <f t="shared" si="4"/>
        <v>0</v>
      </c>
      <c r="Q15" s="143">
        <f t="shared" si="5"/>
        <v>0</v>
      </c>
      <c r="R15" s="144" t="str">
        <f t="shared" si="7"/>
        <v>-</v>
      </c>
      <c r="S15" s="131"/>
      <c r="T15" s="131"/>
      <c r="U15" s="51"/>
      <c r="V15" s="51"/>
      <c r="W15" s="120"/>
      <c r="X15" s="64"/>
      <c r="Y15" s="64"/>
      <c r="Z15" s="64"/>
      <c r="AA15" s="64"/>
      <c r="AH15" s="24"/>
      <c r="AI15" s="24"/>
      <c r="AJ15" s="31"/>
      <c r="AK15" s="20"/>
      <c r="AL15" s="20"/>
      <c r="AM15" s="10"/>
      <c r="AN15" s="10"/>
      <c r="AO15" s="10"/>
    </row>
    <row r="16" spans="1:58" ht="22.5" customHeight="1" x14ac:dyDescent="0.4">
      <c r="A16" s="80"/>
      <c r="B16" s="162"/>
      <c r="C16" s="155"/>
      <c r="D16" s="71" t="s">
        <v>18</v>
      </c>
      <c r="E16" s="124">
        <v>3.3</v>
      </c>
      <c r="F16" s="123" t="str">
        <f>IF($E$4="","",VLOOKUP($E$4,$B$31:$V$34,10,0))</f>
        <v/>
      </c>
      <c r="G16" s="121"/>
      <c r="H16" s="121"/>
      <c r="I16" s="121"/>
      <c r="J16" s="90" t="str">
        <f t="shared" si="0"/>
        <v>-</v>
      </c>
      <c r="K16" s="92" t="str">
        <f t="shared" si="6"/>
        <v/>
      </c>
      <c r="L16" s="141"/>
      <c r="M16" s="142" t="str">
        <f t="shared" si="1"/>
        <v/>
      </c>
      <c r="N16" s="142" t="str">
        <f t="shared" si="2"/>
        <v/>
      </c>
      <c r="O16" s="142" t="str">
        <f t="shared" si="3"/>
        <v/>
      </c>
      <c r="P16" s="143">
        <f t="shared" si="4"/>
        <v>0</v>
      </c>
      <c r="Q16" s="143">
        <f t="shared" si="5"/>
        <v>0</v>
      </c>
      <c r="R16" s="144" t="str">
        <f t="shared" si="7"/>
        <v>-</v>
      </c>
      <c r="S16" s="131"/>
      <c r="T16" s="131"/>
      <c r="U16" s="51"/>
      <c r="V16" s="51"/>
      <c r="W16" s="120"/>
      <c r="X16" s="64"/>
      <c r="Y16" s="64"/>
      <c r="Z16" s="64"/>
      <c r="AA16" s="64"/>
      <c r="AH16" s="24"/>
      <c r="AI16" s="24"/>
      <c r="AJ16" s="31"/>
      <c r="AK16" s="20"/>
      <c r="AL16" s="20"/>
      <c r="AM16" s="10"/>
      <c r="AN16" s="10"/>
      <c r="AO16" s="10"/>
    </row>
    <row r="17" spans="1:42" ht="22.5" customHeight="1" x14ac:dyDescent="0.4">
      <c r="A17" s="80"/>
      <c r="B17" s="162"/>
      <c r="C17" s="155" t="s">
        <v>126</v>
      </c>
      <c r="D17" s="71" t="s">
        <v>11</v>
      </c>
      <c r="E17" s="125">
        <v>4.0999999999999996</v>
      </c>
      <c r="F17" s="123" t="str">
        <f>IF($E$4="","",VLOOKUP($E$4,$B$31:$V$34,11,0))</f>
        <v/>
      </c>
      <c r="G17" s="121"/>
      <c r="H17" s="121"/>
      <c r="I17" s="121"/>
      <c r="J17" s="90" t="str">
        <f t="shared" si="0"/>
        <v>-</v>
      </c>
      <c r="K17" s="92" t="str">
        <f t="shared" si="6"/>
        <v/>
      </c>
      <c r="L17" s="141"/>
      <c r="M17" s="142" t="str">
        <f t="shared" si="1"/>
        <v/>
      </c>
      <c r="N17" s="142" t="str">
        <f t="shared" si="2"/>
        <v/>
      </c>
      <c r="O17" s="142" t="str">
        <f t="shared" si="3"/>
        <v/>
      </c>
      <c r="P17" s="143">
        <f t="shared" si="4"/>
        <v>0</v>
      </c>
      <c r="Q17" s="143">
        <f t="shared" si="5"/>
        <v>0</v>
      </c>
      <c r="R17" s="144" t="str">
        <f t="shared" si="7"/>
        <v>-</v>
      </c>
      <c r="S17" s="131"/>
      <c r="T17" s="131"/>
      <c r="U17" s="51"/>
      <c r="V17" s="51"/>
      <c r="W17" s="120"/>
      <c r="X17" s="64"/>
      <c r="Y17" s="64"/>
      <c r="Z17" s="64"/>
      <c r="AA17" s="64"/>
      <c r="AH17" s="24"/>
      <c r="AI17" s="24"/>
      <c r="AJ17" s="40"/>
      <c r="AK17" s="21"/>
      <c r="AL17" s="20"/>
      <c r="AM17" s="10"/>
      <c r="AN17" s="10"/>
      <c r="AO17" s="10"/>
    </row>
    <row r="18" spans="1:42" ht="22.5" customHeight="1" x14ac:dyDescent="0.4">
      <c r="A18" s="80"/>
      <c r="B18" s="162"/>
      <c r="C18" s="155"/>
      <c r="D18" s="71" t="s">
        <v>15</v>
      </c>
      <c r="E18" s="124">
        <v>4.2</v>
      </c>
      <c r="F18" s="123" t="str">
        <f>IF($E$4="","",VLOOKUP($E$4,$B$31:$V$34,12,0))</f>
        <v/>
      </c>
      <c r="G18" s="121"/>
      <c r="H18" s="121"/>
      <c r="I18" s="121"/>
      <c r="J18" s="90" t="str">
        <f t="shared" si="0"/>
        <v>-</v>
      </c>
      <c r="K18" s="92" t="str">
        <f t="shared" si="6"/>
        <v/>
      </c>
      <c r="L18" s="141"/>
      <c r="M18" s="142" t="str">
        <f t="shared" si="1"/>
        <v/>
      </c>
      <c r="N18" s="142" t="str">
        <f t="shared" si="2"/>
        <v/>
      </c>
      <c r="O18" s="142" t="str">
        <f t="shared" si="3"/>
        <v/>
      </c>
      <c r="P18" s="143">
        <f t="shared" si="4"/>
        <v>0</v>
      </c>
      <c r="Q18" s="143">
        <f t="shared" si="5"/>
        <v>0</v>
      </c>
      <c r="R18" s="144" t="str">
        <f t="shared" si="7"/>
        <v>-</v>
      </c>
      <c r="S18" s="131"/>
      <c r="T18" s="131"/>
      <c r="U18" s="51"/>
      <c r="V18" s="51"/>
      <c r="W18" s="120"/>
      <c r="X18" s="64"/>
      <c r="Y18" s="64"/>
      <c r="Z18" s="64"/>
      <c r="AA18" s="64"/>
      <c r="AH18" s="24"/>
      <c r="AI18" s="24"/>
      <c r="AJ18" s="41"/>
      <c r="AK18" s="22"/>
      <c r="AL18" s="20"/>
      <c r="AM18" s="10"/>
      <c r="AN18" s="10"/>
      <c r="AO18" s="10"/>
    </row>
    <row r="19" spans="1:42" ht="22.5" customHeight="1" x14ac:dyDescent="0.4">
      <c r="A19" s="80"/>
      <c r="B19" s="162"/>
      <c r="C19" s="155"/>
      <c r="D19" s="71" t="s">
        <v>19</v>
      </c>
      <c r="E19" s="124">
        <v>4.3</v>
      </c>
      <c r="F19" s="123" t="str">
        <f>IF($E$4="","",VLOOKUP($E$4,$B$31:$V$34,13,0))</f>
        <v/>
      </c>
      <c r="G19" s="121"/>
      <c r="H19" s="121"/>
      <c r="I19" s="121"/>
      <c r="J19" s="90" t="str">
        <f t="shared" si="0"/>
        <v>-</v>
      </c>
      <c r="K19" s="92" t="str">
        <f t="shared" si="6"/>
        <v/>
      </c>
      <c r="L19" s="141"/>
      <c r="M19" s="142" t="str">
        <f t="shared" si="1"/>
        <v/>
      </c>
      <c r="N19" s="142" t="str">
        <f t="shared" si="2"/>
        <v/>
      </c>
      <c r="O19" s="142" t="str">
        <f t="shared" si="3"/>
        <v/>
      </c>
      <c r="P19" s="143">
        <f t="shared" si="4"/>
        <v>0</v>
      </c>
      <c r="Q19" s="143">
        <f t="shared" si="5"/>
        <v>0</v>
      </c>
      <c r="R19" s="144" t="str">
        <f t="shared" si="7"/>
        <v>-</v>
      </c>
      <c r="S19" s="131"/>
      <c r="T19" s="131"/>
      <c r="U19" s="51"/>
      <c r="V19" s="51"/>
      <c r="W19" s="120"/>
      <c r="X19" s="64"/>
      <c r="Y19" s="64"/>
      <c r="Z19" s="64"/>
      <c r="AA19" s="64"/>
      <c r="AH19" s="24"/>
      <c r="AI19" s="24"/>
      <c r="AJ19" s="31"/>
      <c r="AK19" s="20"/>
      <c r="AL19" s="20"/>
      <c r="AM19" s="10"/>
      <c r="AN19" s="10"/>
      <c r="AO19" s="10"/>
    </row>
    <row r="20" spans="1:42" ht="22.5" customHeight="1" x14ac:dyDescent="0.4">
      <c r="A20" s="80"/>
      <c r="B20" s="162"/>
      <c r="C20" s="155" t="s">
        <v>127</v>
      </c>
      <c r="D20" s="71" t="s">
        <v>12</v>
      </c>
      <c r="E20" s="124">
        <v>5.0999999999999996</v>
      </c>
      <c r="F20" s="123" t="str">
        <f>IF($E$4="","",VLOOKUP($E$4,$B$31:$V$34,14,0))</f>
        <v/>
      </c>
      <c r="G20" s="121"/>
      <c r="H20" s="121"/>
      <c r="I20" s="121"/>
      <c r="J20" s="90" t="str">
        <f t="shared" si="0"/>
        <v>-</v>
      </c>
      <c r="K20" s="92" t="str">
        <f t="shared" si="6"/>
        <v/>
      </c>
      <c r="L20" s="141"/>
      <c r="M20" s="142" t="str">
        <f t="shared" si="1"/>
        <v/>
      </c>
      <c r="N20" s="142" t="str">
        <f t="shared" si="2"/>
        <v/>
      </c>
      <c r="O20" s="142" t="str">
        <f t="shared" si="3"/>
        <v/>
      </c>
      <c r="P20" s="143">
        <f t="shared" si="4"/>
        <v>0</v>
      </c>
      <c r="Q20" s="143">
        <f t="shared" si="5"/>
        <v>0</v>
      </c>
      <c r="R20" s="144" t="str">
        <f t="shared" si="7"/>
        <v>-</v>
      </c>
      <c r="S20" s="131"/>
      <c r="T20" s="131"/>
      <c r="U20" s="51"/>
      <c r="V20" s="51"/>
      <c r="W20" s="120"/>
      <c r="X20" s="64"/>
      <c r="Y20" s="64"/>
      <c r="Z20" s="64"/>
      <c r="AA20" s="64"/>
      <c r="AH20" s="24"/>
      <c r="AI20" s="24"/>
      <c r="AJ20" s="31"/>
      <c r="AK20" s="20"/>
      <c r="AL20" s="20"/>
      <c r="AM20" s="10"/>
      <c r="AN20" s="10"/>
      <c r="AO20" s="10"/>
    </row>
    <row r="21" spans="1:42" ht="22.5" customHeight="1" x14ac:dyDescent="0.4">
      <c r="A21" s="80"/>
      <c r="B21" s="162"/>
      <c r="C21" s="155"/>
      <c r="D21" s="75" t="s">
        <v>102</v>
      </c>
      <c r="E21" s="124">
        <v>5.2</v>
      </c>
      <c r="F21" s="123" t="str">
        <f>IF($E$4="","",VLOOKUP($E$4,$B$31:$V$34,15,0))</f>
        <v/>
      </c>
      <c r="G21" s="121"/>
      <c r="H21" s="121"/>
      <c r="I21" s="121"/>
      <c r="J21" s="90" t="str">
        <f t="shared" si="0"/>
        <v>-</v>
      </c>
      <c r="K21" s="92" t="str">
        <f t="shared" si="6"/>
        <v/>
      </c>
      <c r="L21" s="141"/>
      <c r="M21" s="142" t="str">
        <f t="shared" si="1"/>
        <v/>
      </c>
      <c r="N21" s="142" t="str">
        <f t="shared" si="2"/>
        <v/>
      </c>
      <c r="O21" s="142" t="str">
        <f t="shared" si="3"/>
        <v/>
      </c>
      <c r="P21" s="143">
        <f t="shared" si="4"/>
        <v>0</v>
      </c>
      <c r="Q21" s="143">
        <f t="shared" si="5"/>
        <v>0</v>
      </c>
      <c r="R21" s="144" t="str">
        <f t="shared" si="7"/>
        <v>-</v>
      </c>
      <c r="S21" s="131"/>
      <c r="T21" s="131"/>
      <c r="U21" s="51"/>
      <c r="V21" s="51"/>
      <c r="W21" s="120"/>
      <c r="X21" s="64"/>
      <c r="Y21" s="64"/>
      <c r="Z21" s="64"/>
      <c r="AA21" s="64"/>
      <c r="AH21" s="24"/>
      <c r="AI21" s="24"/>
      <c r="AJ21" s="31"/>
      <c r="AK21" s="20"/>
      <c r="AL21" s="20"/>
      <c r="AM21" s="10"/>
      <c r="AN21" s="10"/>
      <c r="AO21" s="10"/>
    </row>
    <row r="22" spans="1:42" ht="22.5" customHeight="1" x14ac:dyDescent="0.4">
      <c r="A22" s="80"/>
      <c r="B22" s="162"/>
      <c r="C22" s="112" t="s">
        <v>128</v>
      </c>
      <c r="D22" s="71" t="s">
        <v>3</v>
      </c>
      <c r="E22" s="124">
        <v>6.1</v>
      </c>
      <c r="F22" s="123" t="str">
        <f>IF($E$4="","",VLOOKUP($E$4,$B$31:$V$34,16,0))</f>
        <v/>
      </c>
      <c r="G22" s="121"/>
      <c r="H22" s="121"/>
      <c r="I22" s="121"/>
      <c r="J22" s="90" t="str">
        <f t="shared" si="0"/>
        <v>-</v>
      </c>
      <c r="K22" s="92" t="str">
        <f t="shared" si="6"/>
        <v/>
      </c>
      <c r="L22" s="141"/>
      <c r="M22" s="142" t="str">
        <f t="shared" si="1"/>
        <v/>
      </c>
      <c r="N22" s="142" t="str">
        <f t="shared" si="2"/>
        <v/>
      </c>
      <c r="O22" s="142" t="str">
        <f t="shared" si="3"/>
        <v/>
      </c>
      <c r="P22" s="143">
        <f t="shared" si="4"/>
        <v>0</v>
      </c>
      <c r="Q22" s="143">
        <f t="shared" si="5"/>
        <v>0</v>
      </c>
      <c r="R22" s="144" t="str">
        <f t="shared" si="7"/>
        <v>-</v>
      </c>
      <c r="S22" s="131"/>
      <c r="T22" s="131"/>
      <c r="U22" s="51"/>
      <c r="V22" s="51"/>
      <c r="W22" s="120"/>
      <c r="X22" s="64"/>
      <c r="Y22" s="64"/>
      <c r="Z22" s="64"/>
      <c r="AA22" s="64"/>
      <c r="AH22" s="24"/>
      <c r="AI22" s="24"/>
      <c r="AJ22" s="31"/>
      <c r="AK22" s="20"/>
      <c r="AL22" s="20"/>
      <c r="AM22" s="10"/>
      <c r="AN22" s="10"/>
      <c r="AO22" s="10"/>
    </row>
    <row r="23" spans="1:42" ht="22.5" customHeight="1" x14ac:dyDescent="0.4">
      <c r="A23" s="80"/>
      <c r="B23" s="162"/>
      <c r="C23" s="155" t="s">
        <v>129</v>
      </c>
      <c r="D23" s="75" t="s">
        <v>60</v>
      </c>
      <c r="E23" s="124">
        <v>7</v>
      </c>
      <c r="F23" s="123" t="str">
        <f>IF($E$4="","",VLOOKUP($E$4,$B$31:$V$34,17,0))</f>
        <v/>
      </c>
      <c r="G23" s="121"/>
      <c r="H23" s="121"/>
      <c r="I23" s="121"/>
      <c r="J23" s="90" t="str">
        <f t="shared" si="0"/>
        <v>-</v>
      </c>
      <c r="K23" s="51" t="str">
        <f>IF(F23=0,"※荷役不可","")</f>
        <v/>
      </c>
      <c r="L23" s="141"/>
      <c r="M23" s="142" t="str">
        <f t="shared" ref="M23:O25" si="8">IF(G23="","",1)</f>
        <v/>
      </c>
      <c r="N23" s="142" t="str">
        <f t="shared" si="8"/>
        <v/>
      </c>
      <c r="O23" s="142" t="str">
        <f t="shared" si="8"/>
        <v/>
      </c>
      <c r="P23" s="143" t="str">
        <f>IF(COUNT(M23:O23),1,"")</f>
        <v/>
      </c>
      <c r="Q23" s="145" t="b">
        <f>AND(SUM(M23:O23),IFERROR(COUNT(M23:O23),0))</f>
        <v>0</v>
      </c>
      <c r="R23" s="144" t="str">
        <f>IF(F23=0,"×",IF(P23=0,"-",IF(P23&gt;1,"-","事前相談")))</f>
        <v>-</v>
      </c>
      <c r="S23" s="131"/>
      <c r="T23" s="131"/>
      <c r="U23" s="51"/>
      <c r="V23" s="51"/>
      <c r="W23" s="119"/>
      <c r="X23" s="63"/>
      <c r="Y23" s="63"/>
      <c r="Z23" s="63"/>
      <c r="AA23" s="63"/>
      <c r="AH23" s="24"/>
      <c r="AI23" s="24"/>
      <c r="AJ23" s="31"/>
      <c r="AK23" s="20"/>
      <c r="AL23" s="20"/>
      <c r="AM23" s="10"/>
      <c r="AN23" s="10"/>
      <c r="AO23" s="10"/>
    </row>
    <row r="24" spans="1:42" ht="22.5" customHeight="1" x14ac:dyDescent="0.4">
      <c r="A24" s="80"/>
      <c r="B24" s="162"/>
      <c r="C24" s="155"/>
      <c r="D24" s="75" t="s">
        <v>63</v>
      </c>
      <c r="E24" s="124">
        <v>7</v>
      </c>
      <c r="F24" s="123" t="str">
        <f>IF($E$4="","",VLOOKUP($E$4,$B$31:$V$34,18,0))</f>
        <v/>
      </c>
      <c r="G24" s="121"/>
      <c r="H24" s="121"/>
      <c r="I24" s="121"/>
      <c r="J24" s="90" t="str">
        <f t="shared" si="0"/>
        <v>-</v>
      </c>
      <c r="K24" s="51" t="str">
        <f t="shared" ref="K24:K25" si="9">IF(F24=0,"※荷役不可","")</f>
        <v/>
      </c>
      <c r="L24" s="141"/>
      <c r="M24" s="142" t="str">
        <f t="shared" si="8"/>
        <v/>
      </c>
      <c r="N24" s="142" t="str">
        <f t="shared" si="8"/>
        <v/>
      </c>
      <c r="O24" s="142" t="str">
        <f t="shared" si="8"/>
        <v/>
      </c>
      <c r="P24" s="143" t="str">
        <f>IF(COUNT(M24:O24),1,"")</f>
        <v/>
      </c>
      <c r="Q24" s="145" t="b">
        <f t="shared" ref="Q24:Q25" si="10">AND(SUM(M24:O24),IFERROR(COUNT(M24:O24),0.00001))</f>
        <v>0</v>
      </c>
      <c r="R24" s="144" t="str">
        <f>IF(F24=0,"×",IF(P24=0,"-",IF(P24&gt;1,"-","事前相談")))</f>
        <v>-</v>
      </c>
      <c r="S24" s="131"/>
      <c r="T24" s="131"/>
      <c r="U24" s="51"/>
      <c r="V24" s="51"/>
      <c r="W24" s="119"/>
      <c r="X24" s="63"/>
      <c r="Y24" s="63"/>
      <c r="Z24" s="63"/>
      <c r="AA24" s="63"/>
      <c r="AH24" s="24"/>
      <c r="AI24" s="24"/>
      <c r="AJ24" s="31"/>
      <c r="AK24" s="20"/>
      <c r="AL24" s="20"/>
      <c r="AM24" s="10"/>
      <c r="AN24" s="10"/>
      <c r="AO24" s="10"/>
    </row>
    <row r="25" spans="1:42" ht="22.5" customHeight="1" x14ac:dyDescent="0.4">
      <c r="A25" s="80"/>
      <c r="B25" s="162"/>
      <c r="C25" s="155"/>
      <c r="D25" s="75" t="s">
        <v>65</v>
      </c>
      <c r="E25" s="124">
        <v>7</v>
      </c>
      <c r="F25" s="123" t="str">
        <f>IF($E$4="","",VLOOKUP($E$4,$B$31:$V$34,19,0))</f>
        <v/>
      </c>
      <c r="G25" s="121"/>
      <c r="H25" s="121"/>
      <c r="I25" s="121"/>
      <c r="J25" s="90" t="str">
        <f t="shared" si="0"/>
        <v>-</v>
      </c>
      <c r="K25" s="51" t="str">
        <f t="shared" si="9"/>
        <v/>
      </c>
      <c r="L25" s="141"/>
      <c r="M25" s="142" t="str">
        <f t="shared" si="8"/>
        <v/>
      </c>
      <c r="N25" s="142" t="str">
        <f t="shared" si="8"/>
        <v/>
      </c>
      <c r="O25" s="142" t="str">
        <f t="shared" si="8"/>
        <v/>
      </c>
      <c r="P25" s="143" t="str">
        <f>IF(COUNT(M25:O25),1,"")</f>
        <v/>
      </c>
      <c r="Q25" s="145" t="b">
        <f t="shared" si="10"/>
        <v>0</v>
      </c>
      <c r="R25" s="144" t="str">
        <f>IF(F25=0,"×",IF(P25=0,"-",IF(P25&gt;1,"-","事前相談")))</f>
        <v>-</v>
      </c>
      <c r="S25" s="131"/>
      <c r="T25" s="131"/>
      <c r="U25" s="51"/>
      <c r="V25" s="51"/>
      <c r="W25" s="119"/>
      <c r="X25" s="63"/>
      <c r="Y25" s="63"/>
      <c r="Z25" s="63"/>
      <c r="AA25" s="63"/>
      <c r="AH25" s="24"/>
      <c r="AI25" s="24"/>
      <c r="AJ25" s="31"/>
      <c r="AK25" s="20"/>
      <c r="AL25" s="20"/>
      <c r="AM25" s="10"/>
      <c r="AN25" s="10"/>
      <c r="AO25" s="10"/>
    </row>
    <row r="26" spans="1:42" ht="22.5" customHeight="1" x14ac:dyDescent="0.4">
      <c r="A26" s="80"/>
      <c r="B26" s="162"/>
      <c r="C26" s="112" t="s">
        <v>13</v>
      </c>
      <c r="D26" s="71" t="s">
        <v>13</v>
      </c>
      <c r="E26" s="124">
        <v>8</v>
      </c>
      <c r="F26" s="123" t="str">
        <f>IF($E$4="","",VLOOKUP($E$4,$B$31:$V$34,20,0))</f>
        <v/>
      </c>
      <c r="G26" s="121"/>
      <c r="H26" s="121"/>
      <c r="I26" s="121"/>
      <c r="J26" s="90" t="str">
        <f t="shared" si="0"/>
        <v>-</v>
      </c>
      <c r="K26" s="51" t="str">
        <f>IF(P26&gt;1,"※許容量超過","")</f>
        <v/>
      </c>
      <c r="L26" s="141"/>
      <c r="M26" s="142" t="str">
        <f t="shared" ref="M26:M27" si="11">IF($G26="","",($G26/1000)/$F26)</f>
        <v/>
      </c>
      <c r="N26" s="142" t="str">
        <f>IF($H26="","",$H26/($F26*2))</f>
        <v/>
      </c>
      <c r="O26" s="142" t="str">
        <f>IF($I26="","",$I26/($F26*5))</f>
        <v/>
      </c>
      <c r="P26" s="143">
        <f>IFERROR(SUM(M26:O26),0)</f>
        <v>0</v>
      </c>
      <c r="Q26" s="143"/>
      <c r="R26" s="146" t="str">
        <f>IFERROR(IF(F26=0,"×",IF(P26=0,"-",IF(P26&gt;1,"×","〇"))),0)</f>
        <v>-</v>
      </c>
      <c r="S26" s="131"/>
      <c r="T26" s="131"/>
      <c r="U26" s="51"/>
      <c r="V26" s="51"/>
      <c r="W26" s="120"/>
      <c r="X26" s="64"/>
      <c r="Y26" s="64"/>
      <c r="Z26" s="64"/>
      <c r="AA26" s="64"/>
      <c r="AH26" s="24"/>
      <c r="AI26" s="24"/>
      <c r="AJ26" s="31"/>
      <c r="AK26" s="20"/>
      <c r="AL26" s="20"/>
      <c r="AM26" s="10"/>
      <c r="AN26" s="10"/>
      <c r="AO26" s="10"/>
    </row>
    <row r="27" spans="1:42" ht="22.5" customHeight="1" x14ac:dyDescent="0.4">
      <c r="A27" s="80"/>
      <c r="B27" s="163"/>
      <c r="C27" s="112" t="s">
        <v>14</v>
      </c>
      <c r="D27" s="71" t="s">
        <v>14</v>
      </c>
      <c r="E27" s="124">
        <v>9</v>
      </c>
      <c r="F27" s="123" t="str">
        <f>IF($E$4="","",VLOOKUP($E$4,$B$31:$V$34,21,0))</f>
        <v/>
      </c>
      <c r="G27" s="121"/>
      <c r="H27" s="121"/>
      <c r="I27" s="121"/>
      <c r="J27" s="90" t="str">
        <f t="shared" si="0"/>
        <v>-</v>
      </c>
      <c r="K27" s="51" t="str">
        <f>IF(P27&gt;1,"※許容量超過","")</f>
        <v/>
      </c>
      <c r="L27" s="141"/>
      <c r="M27" s="142" t="str">
        <f t="shared" si="11"/>
        <v/>
      </c>
      <c r="N27" s="142" t="str">
        <f>IF($H27="","",$H27/($F27*2))</f>
        <v/>
      </c>
      <c r="O27" s="142" t="str">
        <f>IF($I27="","",$I27/($F27*5))</f>
        <v/>
      </c>
      <c r="P27" s="143">
        <f>IFERROR(SUM(M27:O27),0)</f>
        <v>0</v>
      </c>
      <c r="Q27" s="143"/>
      <c r="R27" s="146" t="str">
        <f>IFERROR(IF(F27=0,"×",IF(P27=0,"-",IF(P27&gt;1,"×","〇"))),0)</f>
        <v>-</v>
      </c>
      <c r="S27" s="131"/>
      <c r="T27" s="131"/>
      <c r="U27" s="51"/>
      <c r="V27" s="51"/>
      <c r="W27" s="120"/>
      <c r="X27" s="64"/>
      <c r="Y27" s="64"/>
      <c r="Z27" s="64"/>
      <c r="AA27" s="64"/>
      <c r="AH27" s="24"/>
      <c r="AI27" s="24"/>
      <c r="AJ27" s="31"/>
      <c r="AK27" s="20"/>
      <c r="AL27" s="20"/>
      <c r="AM27" s="10"/>
      <c r="AN27" s="10"/>
      <c r="AO27" s="10"/>
    </row>
    <row r="28" spans="1:42" ht="27" customHeight="1" x14ac:dyDescent="0.4">
      <c r="A28" s="80"/>
      <c r="B28" s="77" t="s">
        <v>100</v>
      </c>
      <c r="C28" s="156" t="s">
        <v>164</v>
      </c>
      <c r="D28" s="156"/>
      <c r="E28" s="156"/>
      <c r="F28" s="156"/>
      <c r="G28" s="156"/>
      <c r="H28" s="156"/>
      <c r="I28" s="156"/>
      <c r="J28" s="156"/>
      <c r="K28" s="156"/>
      <c r="L28" s="131"/>
      <c r="M28" s="147"/>
      <c r="N28" s="147"/>
      <c r="O28" s="147"/>
      <c r="P28" s="148">
        <f>IFERROR(SUM(P8:P22),2)</f>
        <v>0</v>
      </c>
      <c r="Q28" s="148" t="b">
        <f>IF(COUNT(M23:O25),0.0000001)</f>
        <v>0</v>
      </c>
      <c r="R28" s="149"/>
      <c r="S28" s="131"/>
      <c r="T28" s="131"/>
      <c r="U28" s="51"/>
      <c r="V28" s="51"/>
      <c r="W28" s="113"/>
      <c r="X28" s="60"/>
      <c r="Y28" s="60"/>
      <c r="Z28" s="60"/>
      <c r="AA28" s="60"/>
      <c r="AH28" s="24"/>
      <c r="AI28" s="24"/>
      <c r="AJ28" s="23"/>
      <c r="AK28" s="10"/>
      <c r="AL28" s="10"/>
      <c r="AM28" s="10"/>
      <c r="AN28" s="10"/>
      <c r="AO28" s="10"/>
    </row>
    <row r="29" spans="1:42" ht="27.75" customHeight="1" x14ac:dyDescent="0.4">
      <c r="A29" s="80"/>
      <c r="B29" s="79"/>
      <c r="C29" s="156"/>
      <c r="D29" s="156"/>
      <c r="E29" s="156"/>
      <c r="F29" s="156"/>
      <c r="G29" s="156"/>
      <c r="H29" s="156"/>
      <c r="I29" s="156"/>
      <c r="J29" s="156"/>
      <c r="K29" s="156"/>
      <c r="L29" s="131"/>
      <c r="M29" s="147"/>
      <c r="N29" s="147"/>
      <c r="O29" s="147"/>
      <c r="P29" s="147">
        <f>IFERROR(SUM(P26:P27),2)</f>
        <v>0</v>
      </c>
      <c r="Q29" s="147">
        <f>SUM(Q8:Q22)+SUM(Q26:Q28)</f>
        <v>0</v>
      </c>
      <c r="R29" s="149"/>
      <c r="S29" s="131"/>
      <c r="T29" s="131"/>
      <c r="U29" s="51"/>
      <c r="V29" s="51"/>
      <c r="W29" s="45"/>
      <c r="X29" s="66"/>
      <c r="Y29" s="66"/>
      <c r="Z29" s="66"/>
      <c r="AA29" s="66"/>
      <c r="AH29" s="24"/>
      <c r="AI29" s="24"/>
      <c r="AJ29" s="23"/>
      <c r="AK29" s="10"/>
      <c r="AL29" s="10"/>
      <c r="AM29" s="10"/>
      <c r="AN29" s="10"/>
      <c r="AO29" s="10"/>
    </row>
    <row r="30" spans="1:42" ht="22.5" customHeight="1" x14ac:dyDescent="0.4">
      <c r="A30" s="26"/>
      <c r="B30" s="26"/>
      <c r="C30" s="26"/>
      <c r="D30" s="45"/>
      <c r="E30" s="45"/>
      <c r="F30" s="45"/>
      <c r="G30" s="45"/>
      <c r="H30" s="45"/>
      <c r="I30" s="45"/>
      <c r="J30" s="45"/>
      <c r="K30" s="97"/>
      <c r="L30" s="46"/>
      <c r="M30" s="46"/>
      <c r="N30" s="46"/>
      <c r="O30" s="46"/>
      <c r="P30" s="46"/>
      <c r="Q30" s="46"/>
      <c r="R30" s="46"/>
      <c r="S30" s="46"/>
      <c r="T30" s="46"/>
      <c r="U30" s="46"/>
      <c r="V30" s="46"/>
      <c r="W30" s="67"/>
      <c r="X30" s="67"/>
      <c r="Y30" s="67"/>
      <c r="Z30" s="67"/>
      <c r="AA30" s="67"/>
      <c r="AB30" s="68"/>
      <c r="AC30" s="68"/>
      <c r="AD30" s="68"/>
      <c r="AE30" s="65"/>
      <c r="AF30" s="65"/>
      <c r="AG30" s="65"/>
      <c r="AH30" s="24"/>
      <c r="AI30" s="11"/>
      <c r="AJ30" s="10"/>
    </row>
    <row r="31" spans="1:42" ht="22.5" customHeight="1" x14ac:dyDescent="0.4">
      <c r="A31" s="26"/>
      <c r="B31" s="26" t="s">
        <v>20</v>
      </c>
      <c r="C31" s="26">
        <v>0</v>
      </c>
      <c r="D31" s="47">
        <v>0.2</v>
      </c>
      <c r="E31" s="47">
        <v>0.5</v>
      </c>
      <c r="F31" s="47">
        <v>1</v>
      </c>
      <c r="G31" s="25">
        <v>5</v>
      </c>
      <c r="H31" s="25">
        <v>1</v>
      </c>
      <c r="I31" s="47">
        <v>2</v>
      </c>
      <c r="J31" s="47">
        <v>5</v>
      </c>
      <c r="K31" s="98">
        <v>10</v>
      </c>
      <c r="L31" s="47">
        <v>10</v>
      </c>
      <c r="M31" s="47">
        <v>5</v>
      </c>
      <c r="N31" s="47">
        <v>5</v>
      </c>
      <c r="O31" s="47">
        <v>5</v>
      </c>
      <c r="P31" s="47">
        <v>1</v>
      </c>
      <c r="Q31" s="47">
        <v>10</v>
      </c>
      <c r="R31" s="27">
        <v>0</v>
      </c>
      <c r="S31" s="27">
        <v>0</v>
      </c>
      <c r="T31" s="27">
        <v>0</v>
      </c>
      <c r="U31" s="47">
        <v>10</v>
      </c>
      <c r="V31" s="47">
        <v>10</v>
      </c>
      <c r="W31" s="51"/>
      <c r="X31" s="69"/>
      <c r="Y31" s="69"/>
      <c r="Z31" s="69"/>
      <c r="AA31" s="69"/>
      <c r="AB31" s="52"/>
      <c r="AC31" s="52"/>
      <c r="AD31" s="52"/>
      <c r="AE31" s="53"/>
      <c r="AF31" s="53"/>
      <c r="AG31" s="53"/>
      <c r="AH31" s="23"/>
      <c r="AO31" s="10"/>
      <c r="AP31" s="10"/>
    </row>
    <row r="32" spans="1:42" ht="21" customHeight="1" x14ac:dyDescent="0.4">
      <c r="A32" s="26"/>
      <c r="B32" s="26" t="s">
        <v>21</v>
      </c>
      <c r="C32" s="26">
        <v>5</v>
      </c>
      <c r="D32" s="47">
        <v>5</v>
      </c>
      <c r="E32" s="47">
        <v>10</v>
      </c>
      <c r="F32" s="47">
        <v>20</v>
      </c>
      <c r="G32" s="25">
        <v>100</v>
      </c>
      <c r="H32" s="25">
        <v>20</v>
      </c>
      <c r="I32" s="47">
        <v>50</v>
      </c>
      <c r="J32" s="47">
        <v>100</v>
      </c>
      <c r="K32" s="98">
        <v>250</v>
      </c>
      <c r="L32" s="47">
        <v>250</v>
      </c>
      <c r="M32" s="47">
        <v>100</v>
      </c>
      <c r="N32" s="47">
        <v>100</v>
      </c>
      <c r="O32" s="47">
        <v>100</v>
      </c>
      <c r="P32" s="47">
        <v>20</v>
      </c>
      <c r="Q32" s="47">
        <v>250</v>
      </c>
      <c r="R32" s="27">
        <v>0</v>
      </c>
      <c r="S32" s="27" t="s">
        <v>7</v>
      </c>
      <c r="T32" s="27" t="s">
        <v>7</v>
      </c>
      <c r="U32" s="47">
        <v>250</v>
      </c>
      <c r="V32" s="47">
        <v>250</v>
      </c>
      <c r="W32" s="51"/>
      <c r="X32" s="69"/>
      <c r="Y32" s="69"/>
      <c r="Z32" s="69"/>
      <c r="AA32" s="69"/>
      <c r="AB32" s="52"/>
      <c r="AC32" s="52"/>
      <c r="AD32" s="52"/>
      <c r="AE32" s="53"/>
      <c r="AF32" s="53"/>
      <c r="AG32" s="53"/>
      <c r="AH32" s="23"/>
      <c r="AO32" s="10"/>
      <c r="AP32" s="10"/>
    </row>
    <row r="33" spans="1:42" ht="21" customHeight="1" x14ac:dyDescent="0.4">
      <c r="A33" s="26"/>
      <c r="B33" s="26" t="s">
        <v>22</v>
      </c>
      <c r="C33" s="26">
        <v>20</v>
      </c>
      <c r="D33" s="47">
        <v>20</v>
      </c>
      <c r="E33" s="47">
        <v>50</v>
      </c>
      <c r="F33" s="47">
        <v>100</v>
      </c>
      <c r="G33" s="25">
        <v>500</v>
      </c>
      <c r="H33" s="25">
        <v>100</v>
      </c>
      <c r="I33" s="47">
        <v>250</v>
      </c>
      <c r="J33" s="47">
        <v>500</v>
      </c>
      <c r="K33" s="98">
        <v>1000</v>
      </c>
      <c r="L33" s="47">
        <v>1000</v>
      </c>
      <c r="M33" s="47">
        <v>500</v>
      </c>
      <c r="N33" s="47">
        <v>500</v>
      </c>
      <c r="O33" s="47">
        <v>500</v>
      </c>
      <c r="P33" s="47">
        <v>100</v>
      </c>
      <c r="Q33" s="47">
        <v>1000</v>
      </c>
      <c r="R33" s="27" t="s">
        <v>7</v>
      </c>
      <c r="S33" s="27" t="s">
        <v>7</v>
      </c>
      <c r="T33" s="27" t="s">
        <v>7</v>
      </c>
      <c r="U33" s="47">
        <v>1000</v>
      </c>
      <c r="V33" s="47">
        <v>1000</v>
      </c>
      <c r="W33" s="51"/>
      <c r="X33" s="69"/>
      <c r="Y33" s="69"/>
      <c r="Z33" s="69"/>
      <c r="AA33" s="69"/>
      <c r="AB33" s="52"/>
      <c r="AC33" s="52"/>
      <c r="AD33" s="52"/>
      <c r="AE33" s="53"/>
      <c r="AF33" s="53"/>
      <c r="AG33" s="53"/>
      <c r="AH33" s="23"/>
      <c r="AO33" s="10"/>
      <c r="AP33" s="10"/>
    </row>
    <row r="34" spans="1:42" x14ac:dyDescent="0.4">
      <c r="A34" s="26"/>
      <c r="B34" s="26" t="s">
        <v>23</v>
      </c>
      <c r="C34" s="26">
        <v>20</v>
      </c>
      <c r="D34" s="47">
        <v>20</v>
      </c>
      <c r="E34" s="47">
        <v>200</v>
      </c>
      <c r="F34" s="47">
        <v>400</v>
      </c>
      <c r="G34" s="25">
        <v>2000</v>
      </c>
      <c r="H34" s="25">
        <v>400</v>
      </c>
      <c r="I34" s="47">
        <v>1000</v>
      </c>
      <c r="J34" s="47">
        <v>2000</v>
      </c>
      <c r="K34" s="98">
        <v>4000</v>
      </c>
      <c r="L34" s="47">
        <v>4000</v>
      </c>
      <c r="M34" s="47">
        <v>2000</v>
      </c>
      <c r="N34" s="47">
        <v>2000</v>
      </c>
      <c r="O34" s="47">
        <v>2000</v>
      </c>
      <c r="P34" s="47">
        <v>400</v>
      </c>
      <c r="Q34" s="47">
        <v>4000</v>
      </c>
      <c r="R34" s="27" t="s">
        <v>7</v>
      </c>
      <c r="S34" s="27" t="s">
        <v>7</v>
      </c>
      <c r="T34" s="27" t="s">
        <v>7</v>
      </c>
      <c r="U34" s="47">
        <v>4000</v>
      </c>
      <c r="V34" s="47">
        <v>4000</v>
      </c>
      <c r="W34" s="51"/>
      <c r="X34" s="69"/>
      <c r="Y34" s="69"/>
      <c r="Z34" s="69"/>
      <c r="AA34" s="69"/>
      <c r="AB34" s="52"/>
      <c r="AC34" s="52"/>
      <c r="AD34" s="52"/>
      <c r="AE34" s="53"/>
      <c r="AF34" s="53"/>
      <c r="AG34" s="53"/>
      <c r="AH34" s="23"/>
      <c r="AO34" s="10"/>
      <c r="AP34" s="10"/>
    </row>
    <row r="35" spans="1:42" x14ac:dyDescent="0.4">
      <c r="A35" s="107"/>
      <c r="B35" s="107"/>
      <c r="C35" s="107"/>
      <c r="D35" s="107"/>
      <c r="E35" s="107"/>
      <c r="F35" s="107"/>
      <c r="G35" s="107"/>
      <c r="H35" s="107"/>
      <c r="I35" s="107"/>
      <c r="J35" s="107"/>
      <c r="K35" s="108"/>
      <c r="L35" s="109"/>
      <c r="M35" s="109"/>
      <c r="N35" s="109"/>
      <c r="O35" s="109"/>
      <c r="P35" s="109"/>
      <c r="Q35" s="109"/>
      <c r="R35" s="109"/>
      <c r="S35" s="109"/>
      <c r="T35" s="110"/>
      <c r="U35" s="109"/>
      <c r="V35" s="109"/>
      <c r="W35" s="28"/>
      <c r="X35" s="28"/>
      <c r="Y35" s="28"/>
      <c r="Z35" s="28"/>
      <c r="AA35" s="28"/>
      <c r="AB35" s="24"/>
      <c r="AC35" s="24"/>
      <c r="AD35" s="24"/>
      <c r="AE35" s="23"/>
      <c r="AF35" s="23"/>
      <c r="AG35" s="23"/>
      <c r="AH35" s="23"/>
      <c r="AI35" s="10"/>
      <c r="AJ35" s="10"/>
      <c r="AK35" s="10"/>
      <c r="AL35" s="10"/>
      <c r="AM35" s="10"/>
      <c r="AN35" s="10"/>
      <c r="AO35" s="10"/>
      <c r="AP35" s="10"/>
    </row>
    <row r="36" spans="1:42" x14ac:dyDescent="0.4">
      <c r="A36" s="24"/>
      <c r="B36" s="24"/>
      <c r="C36" s="24"/>
      <c r="D36" s="24"/>
      <c r="E36" s="24"/>
      <c r="F36" s="24"/>
      <c r="G36" s="24"/>
      <c r="H36" s="24"/>
      <c r="I36" s="24"/>
      <c r="J36" s="24"/>
      <c r="K36" s="99"/>
      <c r="L36" s="28"/>
      <c r="M36" s="28"/>
      <c r="N36" s="28"/>
      <c r="O36" s="28"/>
      <c r="P36" s="28"/>
      <c r="Q36" s="28"/>
      <c r="R36" s="28"/>
      <c r="S36" s="28"/>
      <c r="T36" s="28"/>
      <c r="U36" s="28"/>
      <c r="V36" s="28"/>
      <c r="W36" s="28"/>
      <c r="X36" s="28"/>
      <c r="Y36" s="28"/>
      <c r="Z36" s="28"/>
      <c r="AA36" s="28"/>
      <c r="AB36" s="24"/>
      <c r="AC36" s="24"/>
      <c r="AD36" s="24"/>
      <c r="AE36" s="23"/>
      <c r="AF36" s="23"/>
      <c r="AG36" s="23"/>
      <c r="AH36" s="23"/>
      <c r="AI36" s="10"/>
      <c r="AJ36" s="10"/>
      <c r="AK36" s="10"/>
      <c r="AL36" s="10"/>
      <c r="AM36" s="10"/>
      <c r="AN36" s="10"/>
      <c r="AO36" s="10"/>
      <c r="AP36" s="10"/>
    </row>
    <row r="37" spans="1:42" x14ac:dyDescent="0.4">
      <c r="A37" s="31"/>
      <c r="B37" s="31"/>
      <c r="C37" s="31"/>
      <c r="D37" s="31"/>
      <c r="E37" s="31"/>
      <c r="F37" s="31"/>
      <c r="G37" s="31"/>
      <c r="H37" s="31"/>
      <c r="I37" s="24"/>
      <c r="J37" s="24"/>
      <c r="K37" s="106"/>
      <c r="L37" s="50"/>
      <c r="M37" s="50"/>
      <c r="N37" s="50"/>
      <c r="O37" s="50"/>
      <c r="P37" s="50"/>
      <c r="Q37" s="50"/>
      <c r="R37" s="50"/>
      <c r="S37" s="50"/>
      <c r="T37" s="50"/>
      <c r="U37" s="50"/>
      <c r="V37" s="50"/>
      <c r="W37" s="50"/>
      <c r="X37" s="50"/>
      <c r="Y37" s="50"/>
      <c r="Z37" s="50"/>
      <c r="AA37" s="50"/>
      <c r="AB37" s="24"/>
      <c r="AC37" s="24"/>
      <c r="AD37" s="24"/>
      <c r="AE37" s="23"/>
      <c r="AF37" s="23"/>
      <c r="AG37" s="23"/>
      <c r="AH37" s="23"/>
      <c r="AI37" s="10"/>
      <c r="AJ37" s="10"/>
      <c r="AK37" s="10"/>
      <c r="AL37" s="10"/>
      <c r="AM37" s="10"/>
      <c r="AN37" s="10"/>
      <c r="AO37" s="10"/>
      <c r="AP37" s="10"/>
    </row>
    <row r="38" spans="1:42" x14ac:dyDescent="0.4">
      <c r="A38" s="31"/>
      <c r="B38" s="31"/>
      <c r="C38" s="31"/>
      <c r="D38" s="31"/>
      <c r="E38" s="31"/>
      <c r="F38" s="31"/>
      <c r="G38" s="31"/>
      <c r="H38" s="31"/>
      <c r="I38" s="29"/>
      <c r="J38" s="30"/>
      <c r="K38" s="100"/>
      <c r="L38" s="50"/>
      <c r="M38" s="50"/>
      <c r="N38" s="50"/>
      <c r="O38" s="50"/>
      <c r="P38" s="50"/>
      <c r="Q38" s="50"/>
      <c r="R38" s="50"/>
      <c r="S38" s="50"/>
      <c r="T38" s="50"/>
      <c r="U38" s="50"/>
      <c r="V38" s="50"/>
      <c r="W38" s="50"/>
      <c r="X38" s="50"/>
      <c r="Y38" s="50"/>
      <c r="Z38" s="50"/>
      <c r="AA38" s="50"/>
      <c r="AB38" s="24"/>
      <c r="AC38" s="24"/>
      <c r="AD38" s="24"/>
      <c r="AE38" s="23"/>
      <c r="AF38" s="23"/>
      <c r="AG38" s="23"/>
      <c r="AH38" s="23"/>
      <c r="AI38" s="10"/>
      <c r="AJ38" s="10"/>
      <c r="AK38" s="10"/>
      <c r="AL38" s="10"/>
      <c r="AM38" s="10"/>
      <c r="AN38" s="10"/>
      <c r="AO38" s="10"/>
      <c r="AP38" s="10"/>
    </row>
    <row r="39" spans="1:42" x14ac:dyDescent="0.4">
      <c r="A39" s="31"/>
      <c r="B39" s="31"/>
      <c r="C39" s="31"/>
      <c r="D39" s="31"/>
      <c r="E39" s="31"/>
      <c r="F39" s="31"/>
      <c r="G39" s="31"/>
      <c r="H39" s="31"/>
      <c r="I39" s="30"/>
      <c r="J39" s="30"/>
      <c r="K39" s="100"/>
      <c r="L39" s="50"/>
      <c r="M39" s="50"/>
      <c r="N39" s="50"/>
      <c r="O39" s="50"/>
      <c r="P39" s="50"/>
      <c r="Q39" s="50"/>
      <c r="R39" s="50"/>
      <c r="S39" s="50"/>
      <c r="T39" s="50"/>
      <c r="U39" s="50"/>
      <c r="V39" s="50"/>
      <c r="W39" s="50"/>
      <c r="X39" s="50"/>
      <c r="Y39" s="50"/>
      <c r="Z39" s="50"/>
      <c r="AA39" s="50"/>
      <c r="AB39" s="24"/>
      <c r="AC39" s="24"/>
      <c r="AD39" s="24"/>
      <c r="AE39" s="23"/>
      <c r="AF39" s="23"/>
      <c r="AG39" s="23"/>
      <c r="AH39" s="23"/>
      <c r="AI39" s="10"/>
      <c r="AJ39" s="10"/>
      <c r="AK39" s="10"/>
      <c r="AL39" s="10"/>
      <c r="AM39" s="10"/>
      <c r="AN39" s="10"/>
      <c r="AO39" s="10"/>
      <c r="AP39" s="10"/>
    </row>
    <row r="40" spans="1:42" x14ac:dyDescent="0.4">
      <c r="A40" s="20"/>
      <c r="B40" s="20"/>
      <c r="C40" s="20"/>
      <c r="D40" s="20"/>
      <c r="E40" s="20"/>
      <c r="F40" s="20"/>
      <c r="G40" s="20"/>
      <c r="H40" s="20"/>
      <c r="I40" s="2"/>
      <c r="J40" s="2"/>
      <c r="K40" s="101"/>
      <c r="L40" s="50"/>
      <c r="M40" s="50"/>
      <c r="N40" s="50"/>
      <c r="O40" s="50"/>
      <c r="P40" s="50"/>
      <c r="Q40" s="50"/>
      <c r="R40" s="50"/>
      <c r="S40" s="50"/>
      <c r="T40" s="50"/>
      <c r="U40" s="50"/>
      <c r="V40" s="50"/>
      <c r="W40" s="50"/>
      <c r="X40" s="50"/>
      <c r="Y40" s="50"/>
      <c r="Z40" s="50"/>
      <c r="AA40" s="50"/>
      <c r="AB40" s="24"/>
      <c r="AC40" s="24"/>
      <c r="AD40" s="24"/>
      <c r="AE40" s="23"/>
      <c r="AF40" s="23"/>
      <c r="AG40" s="23"/>
      <c r="AH40" s="23"/>
      <c r="AI40" s="10"/>
      <c r="AJ40" s="10"/>
      <c r="AK40" s="10"/>
      <c r="AL40" s="10"/>
      <c r="AM40" s="10"/>
      <c r="AN40" s="10"/>
      <c r="AO40" s="10"/>
      <c r="AP40" s="10"/>
    </row>
    <row r="41" spans="1:42" x14ac:dyDescent="0.4">
      <c r="B41" s="11"/>
      <c r="C41" s="11"/>
      <c r="D41" s="11"/>
      <c r="E41" s="11"/>
      <c r="F41" s="11"/>
      <c r="G41" s="11"/>
      <c r="H41" s="11"/>
      <c r="I41" s="11"/>
      <c r="J41" s="11"/>
      <c r="K41" s="102"/>
      <c r="L41" s="28"/>
      <c r="M41" s="28"/>
      <c r="N41" s="28"/>
      <c r="O41" s="28"/>
      <c r="P41" s="28"/>
      <c r="Q41" s="28"/>
      <c r="R41" s="28"/>
      <c r="S41" s="28"/>
      <c r="T41" s="28"/>
      <c r="U41" s="28"/>
      <c r="V41" s="28"/>
      <c r="W41" s="28"/>
      <c r="X41" s="28"/>
      <c r="Y41" s="28"/>
      <c r="Z41" s="28"/>
      <c r="AA41" s="28"/>
      <c r="AB41" s="24"/>
      <c r="AC41" s="24"/>
      <c r="AD41" s="24"/>
      <c r="AE41" s="23"/>
      <c r="AF41" s="23"/>
      <c r="AG41" s="23"/>
      <c r="AH41" s="23"/>
      <c r="AI41" s="10"/>
      <c r="AJ41" s="10"/>
      <c r="AK41" s="10"/>
      <c r="AL41" s="10"/>
      <c r="AM41" s="10"/>
      <c r="AN41" s="10"/>
      <c r="AO41" s="10"/>
      <c r="AP41" s="10"/>
    </row>
    <row r="42" spans="1:42" x14ac:dyDescent="0.4">
      <c r="A42" s="20"/>
      <c r="B42" s="20"/>
      <c r="C42" s="20"/>
      <c r="D42" s="11"/>
      <c r="E42" s="11"/>
      <c r="F42" s="11"/>
      <c r="G42" s="11"/>
      <c r="H42" s="11"/>
      <c r="I42" s="11"/>
      <c r="J42" s="11"/>
      <c r="K42" s="102"/>
      <c r="L42" s="28"/>
      <c r="M42" s="28"/>
      <c r="N42" s="28"/>
      <c r="O42" s="28"/>
      <c r="P42" s="28"/>
      <c r="Q42" s="28"/>
      <c r="R42" s="28"/>
      <c r="S42" s="28"/>
      <c r="T42" s="28"/>
      <c r="U42" s="28"/>
      <c r="V42" s="28"/>
      <c r="W42" s="28"/>
      <c r="X42" s="28"/>
      <c r="Y42" s="28"/>
      <c r="Z42" s="28"/>
      <c r="AA42" s="28"/>
      <c r="AB42" s="24"/>
      <c r="AC42" s="24"/>
      <c r="AD42" s="24"/>
      <c r="AE42" s="23"/>
      <c r="AF42" s="23"/>
      <c r="AG42" s="23"/>
      <c r="AH42" s="23"/>
      <c r="AI42" s="10"/>
      <c r="AJ42" s="10"/>
      <c r="AK42" s="10"/>
      <c r="AL42" s="10"/>
      <c r="AM42" s="10"/>
      <c r="AN42" s="10"/>
      <c r="AO42" s="10"/>
      <c r="AP42" s="10"/>
    </row>
    <row r="43" spans="1:42" x14ac:dyDescent="0.4">
      <c r="A43" s="20"/>
      <c r="B43" s="20"/>
      <c r="C43" s="20"/>
      <c r="E43" s="1"/>
      <c r="L43" s="28"/>
      <c r="M43" s="28"/>
      <c r="N43" s="28"/>
      <c r="O43" s="28"/>
      <c r="P43" s="28"/>
      <c r="Q43" s="28"/>
      <c r="R43" s="28"/>
      <c r="S43" s="28"/>
      <c r="T43" s="28"/>
      <c r="U43" s="28"/>
      <c r="V43" s="28"/>
      <c r="W43" s="28"/>
      <c r="X43" s="28"/>
      <c r="Y43" s="28"/>
      <c r="Z43" s="28"/>
      <c r="AA43" s="28"/>
      <c r="AB43" s="24"/>
      <c r="AC43" s="24"/>
      <c r="AD43" s="24"/>
      <c r="AE43" s="23"/>
      <c r="AF43" s="23"/>
      <c r="AG43" s="23"/>
      <c r="AH43" s="23"/>
    </row>
    <row r="44" spans="1:42" x14ac:dyDescent="0.4">
      <c r="A44" s="20"/>
      <c r="B44" s="20"/>
      <c r="C44" s="20"/>
      <c r="E44" s="1"/>
      <c r="L44" s="28"/>
      <c r="M44" s="28"/>
      <c r="N44" s="28"/>
      <c r="O44" s="28"/>
      <c r="P44" s="28"/>
      <c r="Q44" s="28"/>
      <c r="R44" s="28"/>
      <c r="S44" s="28"/>
      <c r="T44" s="28"/>
      <c r="U44" s="28"/>
      <c r="V44" s="28"/>
      <c r="W44" s="28"/>
      <c r="X44" s="28"/>
      <c r="Y44" s="28"/>
      <c r="Z44" s="28"/>
      <c r="AA44" s="28"/>
      <c r="AB44" s="24"/>
      <c r="AC44" s="24"/>
      <c r="AD44" s="24"/>
      <c r="AE44" s="23"/>
      <c r="AF44" s="23"/>
      <c r="AG44" s="23"/>
      <c r="AH44" s="23"/>
    </row>
    <row r="45" spans="1:42" x14ac:dyDescent="0.4">
      <c r="A45" s="20"/>
      <c r="B45" s="20"/>
      <c r="C45" s="20"/>
      <c r="E45" s="1"/>
      <c r="L45" s="28"/>
      <c r="M45" s="28"/>
      <c r="N45" s="28"/>
      <c r="O45" s="28"/>
      <c r="P45" s="28"/>
      <c r="Q45" s="28"/>
      <c r="R45" s="28"/>
      <c r="S45" s="28"/>
      <c r="T45" s="28"/>
      <c r="U45" s="28"/>
      <c r="V45" s="28"/>
      <c r="W45" s="28"/>
      <c r="X45" s="28"/>
      <c r="Y45" s="28"/>
      <c r="Z45" s="28"/>
      <c r="AA45" s="28"/>
      <c r="AB45" s="24"/>
      <c r="AC45" s="24"/>
      <c r="AD45" s="24"/>
      <c r="AE45" s="23"/>
      <c r="AF45" s="23"/>
      <c r="AG45" s="23"/>
      <c r="AH45" s="23"/>
    </row>
    <row r="46" spans="1:42" x14ac:dyDescent="0.4">
      <c r="E46" s="1"/>
      <c r="L46" s="28"/>
      <c r="M46" s="28"/>
      <c r="N46" s="28"/>
      <c r="O46" s="28"/>
      <c r="P46" s="28"/>
      <c r="Q46" s="28"/>
      <c r="R46" s="28"/>
      <c r="S46" s="28"/>
      <c r="T46" s="28"/>
      <c r="U46" s="28"/>
      <c r="V46" s="28"/>
      <c r="W46" s="28"/>
      <c r="X46" s="28"/>
      <c r="Y46" s="28"/>
      <c r="Z46" s="28"/>
      <c r="AA46" s="28"/>
      <c r="AB46" s="24"/>
      <c r="AC46" s="24"/>
      <c r="AD46" s="24"/>
      <c r="AE46" s="23"/>
      <c r="AF46" s="23"/>
      <c r="AG46" s="23"/>
      <c r="AH46" s="23"/>
    </row>
    <row r="47" spans="1:42" x14ac:dyDescent="0.4">
      <c r="E47" s="1"/>
      <c r="L47" s="28"/>
      <c r="M47" s="28"/>
      <c r="N47" s="28"/>
      <c r="O47" s="28"/>
      <c r="P47" s="28"/>
      <c r="Q47" s="28"/>
      <c r="R47" s="28"/>
      <c r="S47" s="28"/>
      <c r="T47" s="28"/>
      <c r="U47" s="28"/>
      <c r="V47" s="28"/>
      <c r="W47" s="28"/>
      <c r="X47" s="28"/>
      <c r="Y47" s="28"/>
      <c r="Z47" s="28"/>
      <c r="AA47" s="28"/>
      <c r="AB47" s="24"/>
      <c r="AC47" s="24"/>
      <c r="AD47" s="24"/>
      <c r="AE47" s="23"/>
      <c r="AF47" s="23"/>
      <c r="AG47" s="23"/>
      <c r="AH47" s="23"/>
    </row>
    <row r="48" spans="1:42" x14ac:dyDescent="0.4">
      <c r="L48" s="28"/>
      <c r="M48" s="28"/>
      <c r="N48" s="28"/>
      <c r="O48" s="28"/>
      <c r="P48" s="28"/>
      <c r="Q48" s="28"/>
      <c r="R48" s="28"/>
      <c r="S48" s="28"/>
      <c r="T48" s="28"/>
      <c r="U48" s="28"/>
      <c r="V48" s="28"/>
      <c r="W48" s="28"/>
      <c r="X48" s="28"/>
      <c r="Y48" s="28"/>
      <c r="Z48" s="28"/>
      <c r="AA48" s="28"/>
      <c r="AB48" s="24"/>
      <c r="AC48" s="24"/>
      <c r="AD48" s="24"/>
      <c r="AE48" s="23"/>
      <c r="AF48" s="23"/>
      <c r="AG48" s="23"/>
      <c r="AH48" s="23"/>
    </row>
    <row r="49" spans="12:34" x14ac:dyDescent="0.4">
      <c r="L49" s="28"/>
      <c r="M49" s="28"/>
      <c r="N49" s="28"/>
      <c r="O49" s="28"/>
      <c r="P49" s="28"/>
      <c r="Q49" s="28"/>
      <c r="R49" s="28"/>
      <c r="S49" s="28"/>
      <c r="T49" s="28"/>
      <c r="U49" s="28"/>
      <c r="V49" s="28"/>
      <c r="W49" s="28"/>
      <c r="X49" s="28"/>
      <c r="Y49" s="28"/>
      <c r="Z49" s="28"/>
      <c r="AA49" s="28"/>
      <c r="AB49" s="24"/>
      <c r="AC49" s="24"/>
      <c r="AD49" s="24"/>
      <c r="AE49" s="23"/>
      <c r="AF49" s="23"/>
      <c r="AG49" s="23"/>
      <c r="AH49" s="23"/>
    </row>
  </sheetData>
  <sheetProtection password="CA83" sheet="1" selectLockedCells="1"/>
  <dataConsolidate/>
  <mergeCells count="13">
    <mergeCell ref="C23:C25"/>
    <mergeCell ref="C28:K28"/>
    <mergeCell ref="C29:K29"/>
    <mergeCell ref="B2:J2"/>
    <mergeCell ref="B7:D7"/>
    <mergeCell ref="B8:B10"/>
    <mergeCell ref="C8:D8"/>
    <mergeCell ref="C9:D9"/>
    <mergeCell ref="B11:B27"/>
    <mergeCell ref="C11:C13"/>
    <mergeCell ref="C14:C16"/>
    <mergeCell ref="C17:C19"/>
    <mergeCell ref="C20:C21"/>
  </mergeCells>
  <phoneticPr fontId="2"/>
  <conditionalFormatting sqref="J8:J27">
    <cfRule type="expression" dxfId="77" priority="33">
      <formula>J8="-"</formula>
    </cfRule>
    <cfRule type="expression" dxfId="76" priority="34">
      <formula>J8="〇"</formula>
    </cfRule>
    <cfRule type="expression" dxfId="75" priority="35">
      <formula>J8="×"</formula>
    </cfRule>
  </conditionalFormatting>
  <conditionalFormatting sqref="L8:L27">
    <cfRule type="expression" dxfId="74" priority="32">
      <formula>IF(G8&gt;=25,"※要現場確認","")</formula>
    </cfRule>
  </conditionalFormatting>
  <conditionalFormatting sqref="G8">
    <cfRule type="expression" dxfId="73" priority="27">
      <formula>F8&lt;G8</formula>
    </cfRule>
    <cfRule type="expression" dxfId="72" priority="29">
      <formula>G8&lt;0.025</formula>
    </cfRule>
    <cfRule type="expression" dxfId="71" priority="31">
      <formula>G8&gt;=0.025</formula>
    </cfRule>
  </conditionalFormatting>
  <conditionalFormatting sqref="G9">
    <cfRule type="expression" dxfId="70" priority="25">
      <formula>F9&lt;G9</formula>
    </cfRule>
    <cfRule type="expression" dxfId="69" priority="26">
      <formula>G9&gt;=1</formula>
    </cfRule>
    <cfRule type="expression" dxfId="68" priority="30">
      <formula>G9&lt;1</formula>
    </cfRule>
  </conditionalFormatting>
  <conditionalFormatting sqref="G26:G27 G10:G22">
    <cfRule type="expression" dxfId="67" priority="24">
      <formula>F10&gt;=G10</formula>
    </cfRule>
    <cfRule type="expression" dxfId="66" priority="28">
      <formula>F10&lt;G10</formula>
    </cfRule>
  </conditionalFormatting>
  <conditionalFormatting sqref="AA8 AA23:AA25">
    <cfRule type="expression" dxfId="65" priority="36">
      <formula>IF(H8&gt;=25,"※要現場確認","")</formula>
    </cfRule>
  </conditionalFormatting>
  <conditionalFormatting sqref="Z8 Z23:Z25">
    <cfRule type="expression" dxfId="64" priority="37">
      <formula>IF(H8&gt;=25,"※要現場確認","")</formula>
    </cfRule>
  </conditionalFormatting>
  <conditionalFormatting sqref="Y8 Y23:Y25">
    <cfRule type="expression" dxfId="63" priority="38">
      <formula>IF(H8&gt;=25,"※要現場確認","")</formula>
    </cfRule>
  </conditionalFormatting>
  <conditionalFormatting sqref="X8 X23:X25">
    <cfRule type="expression" dxfId="62" priority="39">
      <formula>IF(H8&gt;=25,"※要現場確認","")</formula>
    </cfRule>
  </conditionalFormatting>
  <conditionalFormatting sqref="W8 W23:W25">
    <cfRule type="expression" dxfId="61" priority="40">
      <formula>IF(H8&gt;=25,"※要現場確認","")</formula>
    </cfRule>
  </conditionalFormatting>
  <conditionalFormatting sqref="F8:F27">
    <cfRule type="expression" dxfId="60" priority="18">
      <formula>F8=0</formula>
    </cfRule>
  </conditionalFormatting>
  <conditionalFormatting sqref="F23:F25">
    <cfRule type="expression" dxfId="59" priority="17">
      <formula>F23="―"</formula>
    </cfRule>
  </conditionalFormatting>
  <conditionalFormatting sqref="J4">
    <cfRule type="expression" dxfId="58" priority="16">
      <formula>J4="※特別荷役"</formula>
    </cfRule>
  </conditionalFormatting>
  <conditionalFormatting sqref="J23:J25">
    <cfRule type="expression" dxfId="57" priority="15">
      <formula>J23="事前相談"</formula>
    </cfRule>
  </conditionalFormatting>
  <conditionalFormatting sqref="I4">
    <cfRule type="expression" dxfId="56" priority="41">
      <formula>IF(COUNT(P23:P25),9999999,"特別荷役")</formula>
    </cfRule>
    <cfRule type="expression" dxfId="55" priority="42">
      <formula>$I$4="－"</formula>
    </cfRule>
    <cfRule type="expression" dxfId="54" priority="43">
      <formula>$I$4="許容量超過"</formula>
    </cfRule>
    <cfRule type="expression" dxfId="53" priority="44">
      <formula>I4="許容量内"</formula>
    </cfRule>
  </conditionalFormatting>
  <conditionalFormatting sqref="K8">
    <cfRule type="expression" dxfId="52" priority="12">
      <formula>K8="※許容量超過"</formula>
    </cfRule>
    <cfRule type="expression" dxfId="51" priority="13">
      <formula>K8="※荷役不可"</formula>
    </cfRule>
    <cfRule type="expression" dxfId="50" priority="14">
      <formula>K8="※事前相談"</formula>
    </cfRule>
  </conditionalFormatting>
  <conditionalFormatting sqref="K9">
    <cfRule type="expression" dxfId="49" priority="10">
      <formula>K9="※事前相談"</formula>
    </cfRule>
    <cfRule type="expression" dxfId="48" priority="11">
      <formula>K9="※許容量超過"</formula>
    </cfRule>
  </conditionalFormatting>
  <conditionalFormatting sqref="K10:K22">
    <cfRule type="expression" dxfId="47" priority="9">
      <formula>K10="※許容量超過"</formula>
    </cfRule>
  </conditionalFormatting>
  <conditionalFormatting sqref="K23:K25">
    <cfRule type="expression" dxfId="46" priority="7">
      <formula>K23="※現場確認等"</formula>
    </cfRule>
    <cfRule type="expression" dxfId="45" priority="8">
      <formula>K23="※荷役不可"</formula>
    </cfRule>
  </conditionalFormatting>
  <conditionalFormatting sqref="K26:K27">
    <cfRule type="expression" dxfId="44" priority="6">
      <formula>K26="※許容量超過"</formula>
    </cfRule>
  </conditionalFormatting>
  <conditionalFormatting sqref="H8:H22 H26:H27">
    <cfRule type="expression" dxfId="43" priority="4">
      <formula>F8*2&lt;H8</formula>
    </cfRule>
    <cfRule type="expression" dxfId="42" priority="5">
      <formula>F8*2&gt;=H8</formula>
    </cfRule>
  </conditionalFormatting>
  <conditionalFormatting sqref="I8:I22 I26:I27">
    <cfRule type="expression" dxfId="41" priority="2">
      <formula>F8*5&lt;I8</formula>
    </cfRule>
    <cfRule type="expression" dxfId="40" priority="3">
      <formula>F8*5&gt;=I8</formula>
    </cfRule>
  </conditionalFormatting>
  <conditionalFormatting sqref="G8:I27">
    <cfRule type="expression" dxfId="39" priority="1">
      <formula>MOD($G8,1)=0</formula>
    </cfRule>
  </conditionalFormatting>
  <dataValidations count="10">
    <dataValidation type="custom" operator="greaterThan" showInputMessage="1" showErrorMessage="1" errorTitle="荷役許容量がありません。" error="この岸壁においては、岸壁許容量が「０」となっており、通過危険物を含めて荷役の許可はできません。" promptTitle="放射性物質等の荷役です。" prompt="放射性物質（核分裂性物質等）の荷役が行われる場合は、十分余裕をもって最寄りの海上保安部署に相談してください。" sqref="G24">
      <formula1>F24&lt;&gt;0</formula1>
    </dataValidation>
    <dataValidation type="custom" allowBlank="1" showInputMessage="1" showErrorMessage="1" errorTitle="岸壁許容量がありません。" error="この岸壁においては、岸壁許容量が「０」となっており、通過危険物を含めて荷役の許可はできません。" promptTitle="【注意】爆薬換算量で1トンを超える荷役について" prompt="爆薬換算量で1トンを超えて荷役を行う場合は、必要に応じて関係者等と事前協議を行う必要があります。" sqref="G9">
      <formula1>$F9&lt;&gt;0</formula1>
    </dataValidation>
    <dataValidation type="custom" allowBlank="1" showInputMessage="1" showErrorMessage="1" errorTitle="岸壁許容量がありません。" error="この岸壁においては、岸壁許容量が「０」となっており、通過危険物を含めて荷役の許可はできません。" promptTitle="【注意】爆薬換算量で25キログラムを超える荷役について" prompt="爆薬換算量で25キログラムを超えて荷役を行う場合は、必要に応じて関係者等と事前協議を行う必要があります。" sqref="G8">
      <formula1>$F8&lt;&gt;0</formula1>
    </dataValidation>
    <dataValidation type="custom" allowBlank="1" showErrorMessage="1" errorTitle="岸壁許容量がありません。" error="この岸壁においては、岸壁許容量が「０」となっており、通過危険物を含めて荷役の許可はできません。" promptTitle="【注意】爆薬換算量で25キログラムを超える荷役について" prompt="爆薬換算量で25キログラムを超えて荷役を行う場合は、必要に応じて関係者等と事前協議を行い、原則として現場確認が必要です。" sqref="G10:G22 G26:G27">
      <formula1>$F10&lt;&gt;0</formula1>
    </dataValidation>
    <dataValidation type="custom" allowBlank="1" showInputMessage="1" showErrorMessage="1" errorTitle="岸壁許容量がありません。" error="この岸壁においては、岸壁許容量が「０」となっており、通過危険物を含めて荷役の許可はできません。" sqref="H8:I22 H26:I27">
      <formula1>$F8&lt;&gt;0</formula1>
    </dataValidation>
    <dataValidation errorStyle="information" allowBlank="1" showInputMessage="1" showErrorMessage="1" errorTitle="荷役時現場確認が必要です！" promptTitle="荷役時現場確認が必要です！" sqref="W23:AA25 W8:AA9 L8:L27"/>
    <dataValidation type="list" allowBlank="1" showInputMessage="1" showErrorMessage="1" errorTitle="選択式です！" error="リストから該当する岸壁を選択してください。_x000a_岸壁に応じて「岸壁荷役許容量」が自動的に変わります。" promptTitle="【重要】C2岸壁選択時の注意事項" prompt="コンテナ専用船以外がC2岸壁で危険物荷役をする場合はC1岸壁における荷役許容量が基準となります。_x000a_コンテナ専用船以外は《C1》の判定表を使用してください!!" sqref="E4">
      <formula1>$B$31:$B$34</formula1>
    </dataValidation>
    <dataValidation type="custom" operator="greaterThan" showInputMessage="1" showErrorMessage="1" errorTitle="荷役許容量がありません。" error="この岸壁においては、岸壁許容量が「０」となっており、通過危険物を含めて荷役の許可はできません。" promptTitle="放射性物質等の荷役です。" prompt="放射性物質（核分裂性物質等）の荷役が行われる場合は、十分余裕をもって最寄りの海上保安部署に相談してください。" sqref="G23">
      <formula1>F23&lt;&gt;0</formula1>
    </dataValidation>
    <dataValidation allowBlank="1" showInputMessage="1" showErrorMessage="1" promptTitle="放射性物質等の荷役です。" prompt="放射性物質（核分裂性物質等）の荷役が行われる場合は、十分余裕をもって最寄りの海上保安部署に相談してください。" sqref="H23:I24"/>
    <dataValidation allowBlank="1" showInputMessage="1" showErrorMessage="1" promptTitle="放射性物質等の荷役です。" prompt="放射性物質（核分裂性物質等）の荷役が行われる場合は、十分余裕をもって最寄りの海上保安部署に相談してください。" sqref="G25:I25"/>
  </dataValidations>
  <pageMargins left="0.7" right="0.7" top="0.75" bottom="0.75" header="0.3" footer="0.3"/>
  <pageSetup paperSize="8" scale="9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F49"/>
  <sheetViews>
    <sheetView view="pageBreakPreview" zoomScale="85" zoomScaleNormal="100" zoomScaleSheetLayoutView="85" workbookViewId="0">
      <selection activeCell="H14" sqref="H14"/>
    </sheetView>
  </sheetViews>
  <sheetFormatPr defaultRowHeight="18.75" x14ac:dyDescent="0.4"/>
  <cols>
    <col min="1" max="1" width="8.125" style="1" customWidth="1"/>
    <col min="2" max="2" width="3.75" style="1" customWidth="1"/>
    <col min="3" max="4" width="13.625" style="1" customWidth="1"/>
    <col min="5" max="5" width="13.75" style="2" customWidth="1"/>
    <col min="6" max="9" width="13.75" style="1" customWidth="1"/>
    <col min="10" max="10" width="8.75" style="1" customWidth="1"/>
    <col min="11" max="11" width="11.25" style="103" customWidth="1"/>
    <col min="12" max="27" width="11.25" style="12" customWidth="1"/>
    <col min="28" max="30" width="11.125" style="1" customWidth="1"/>
    <col min="31" max="32" width="11.125" style="3" customWidth="1"/>
    <col min="33" max="33" width="10" style="3" customWidth="1"/>
    <col min="34" max="37" width="5.625" style="3" customWidth="1"/>
    <col min="38" max="38" width="5.5" style="3" customWidth="1"/>
    <col min="39" max="49" width="5.625" style="3" customWidth="1"/>
    <col min="50" max="16384" width="9" style="1"/>
  </cols>
  <sheetData>
    <row r="1" spans="1:58" ht="23.25" customHeight="1" x14ac:dyDescent="0.4">
      <c r="A1" s="118" t="s">
        <v>155</v>
      </c>
      <c r="B1" s="52"/>
      <c r="C1" s="52"/>
      <c r="D1" s="52"/>
      <c r="E1" s="65"/>
      <c r="F1" s="52"/>
      <c r="G1" s="52"/>
      <c r="H1" s="52"/>
      <c r="I1" s="52"/>
      <c r="J1" s="52"/>
      <c r="K1" s="92"/>
      <c r="L1" s="130"/>
      <c r="M1" s="130"/>
      <c r="N1" s="131"/>
      <c r="O1" s="131"/>
      <c r="P1" s="131"/>
      <c r="Q1" s="131"/>
      <c r="R1" s="131"/>
      <c r="S1" s="131"/>
      <c r="T1" s="131"/>
      <c r="U1" s="131"/>
      <c r="V1" s="51"/>
      <c r="W1" s="42"/>
      <c r="X1" s="51"/>
      <c r="Y1" s="51"/>
      <c r="Z1" s="51"/>
      <c r="AA1" s="51"/>
      <c r="AB1" s="52"/>
      <c r="AC1" s="52"/>
      <c r="AD1" s="52"/>
      <c r="AE1" s="53"/>
      <c r="AF1" s="53"/>
      <c r="AG1" s="53"/>
      <c r="AH1" s="23"/>
      <c r="AI1" s="10"/>
      <c r="AJ1" s="10"/>
    </row>
    <row r="2" spans="1:58" ht="22.5" customHeight="1" x14ac:dyDescent="0.4">
      <c r="A2" s="52"/>
      <c r="B2" s="157" t="s">
        <v>0</v>
      </c>
      <c r="C2" s="157"/>
      <c r="D2" s="157"/>
      <c r="E2" s="157"/>
      <c r="F2" s="157"/>
      <c r="G2" s="157"/>
      <c r="H2" s="157"/>
      <c r="I2" s="157"/>
      <c r="J2" s="157"/>
      <c r="K2" s="91"/>
      <c r="L2" s="132"/>
      <c r="M2" s="133"/>
      <c r="N2" s="134"/>
      <c r="O2" s="134"/>
      <c r="P2" s="134"/>
      <c r="Q2" s="134"/>
      <c r="R2" s="134"/>
      <c r="S2" s="134"/>
      <c r="T2" s="134"/>
      <c r="U2" s="134"/>
      <c r="V2" s="54"/>
      <c r="W2" s="43"/>
      <c r="X2" s="54"/>
      <c r="Y2" s="54"/>
      <c r="Z2" s="54"/>
      <c r="AA2" s="54"/>
      <c r="AB2" s="55"/>
      <c r="AC2" s="55"/>
      <c r="AD2" s="55"/>
      <c r="AE2" s="56"/>
      <c r="AF2" s="56"/>
      <c r="AG2" s="56"/>
      <c r="AH2" s="23"/>
      <c r="AI2" s="23"/>
      <c r="AJ2" s="23"/>
    </row>
    <row r="3" spans="1:58" ht="14.25" customHeight="1" thickBot="1" x14ac:dyDescent="0.45">
      <c r="A3" s="52"/>
      <c r="B3" s="52"/>
      <c r="C3" s="52"/>
      <c r="D3" s="81"/>
      <c r="E3" s="81"/>
      <c r="F3" s="81"/>
      <c r="G3" s="81"/>
      <c r="H3" s="81"/>
      <c r="I3" s="116"/>
      <c r="J3" s="81"/>
      <c r="K3" s="91"/>
      <c r="L3" s="132"/>
      <c r="M3" s="134"/>
      <c r="N3" s="134"/>
      <c r="O3" s="134"/>
      <c r="P3" s="134"/>
      <c r="Q3" s="134"/>
      <c r="R3" s="134"/>
      <c r="S3" s="134"/>
      <c r="T3" s="134"/>
      <c r="U3" s="134"/>
      <c r="V3" s="54"/>
      <c r="W3" s="43"/>
      <c r="X3" s="54"/>
      <c r="Y3" s="54"/>
      <c r="Z3" s="54"/>
      <c r="AA3" s="54"/>
      <c r="AB3" s="55"/>
      <c r="AC3" s="55"/>
      <c r="AD3" s="55"/>
      <c r="AE3" s="57"/>
      <c r="AF3" s="57"/>
      <c r="AG3" s="56"/>
      <c r="AH3" s="23"/>
      <c r="AI3" s="23"/>
      <c r="AJ3" s="23"/>
    </row>
    <row r="4" spans="1:58" ht="22.5" customHeight="1" thickTop="1" thickBot="1" x14ac:dyDescent="0.45">
      <c r="A4" s="80"/>
      <c r="B4" s="80"/>
      <c r="C4" s="80"/>
      <c r="D4" s="82" t="s">
        <v>5</v>
      </c>
      <c r="E4" s="122"/>
      <c r="F4" s="80"/>
      <c r="G4" s="52"/>
      <c r="H4" s="83" t="s">
        <v>122</v>
      </c>
      <c r="I4" s="84" t="str">
        <f>IF(COUNT(M23:O25),"要事前相談",IF(Q29=0,"ー",IF(Q29&gt;1,"許容量超過","許容量内")))</f>
        <v>ー</v>
      </c>
      <c r="J4" s="114" t="str">
        <f>IFERROR(IF(Q29&gt;1,"",IF(FIND("※事前相談",K8&amp;K9&amp;K23&amp;K24&amp;K25),"※事前相談")),"")</f>
        <v/>
      </c>
      <c r="K4" s="115"/>
      <c r="L4" s="135"/>
      <c r="M4" s="136"/>
      <c r="N4" s="136"/>
      <c r="O4" s="136"/>
      <c r="P4" s="136"/>
      <c r="Q4" s="136"/>
      <c r="R4" s="136"/>
      <c r="S4" s="136"/>
      <c r="T4" s="136"/>
      <c r="U4" s="136"/>
      <c r="V4" s="58"/>
      <c r="W4" s="44"/>
      <c r="X4" s="58"/>
      <c r="Y4" s="58"/>
      <c r="Z4" s="58"/>
      <c r="AA4" s="58"/>
      <c r="AB4" s="52"/>
      <c r="AC4" s="59"/>
      <c r="AD4" s="55"/>
      <c r="AE4" s="56"/>
      <c r="AF4" s="56"/>
      <c r="AG4" s="56"/>
      <c r="AH4" s="23"/>
      <c r="AI4" s="23"/>
      <c r="AJ4" s="23"/>
    </row>
    <row r="5" spans="1:58" ht="15" customHeight="1" thickTop="1" x14ac:dyDescent="0.4">
      <c r="A5" s="80"/>
      <c r="B5" s="80"/>
      <c r="C5" s="80"/>
      <c r="D5" s="85"/>
      <c r="E5" s="87"/>
      <c r="F5" s="80"/>
      <c r="G5" s="86"/>
      <c r="H5" s="86"/>
      <c r="I5" s="93" t="str">
        <f>IF(COUNT(G23:I25)&gt;=1,"※放射性物質等荷役","")</f>
        <v/>
      </c>
      <c r="J5" s="88"/>
      <c r="K5" s="94"/>
      <c r="L5" s="136"/>
      <c r="M5" s="136"/>
      <c r="N5" s="136"/>
      <c r="O5" s="136"/>
      <c r="P5" s="136"/>
      <c r="Q5" s="136"/>
      <c r="R5" s="136"/>
      <c r="S5" s="136"/>
      <c r="T5" s="136"/>
      <c r="U5" s="136"/>
      <c r="V5" s="58"/>
      <c r="W5" s="44"/>
      <c r="X5" s="58"/>
      <c r="Y5" s="58"/>
      <c r="Z5" s="58"/>
      <c r="AA5" s="58"/>
      <c r="AB5" s="52"/>
      <c r="AC5" s="59"/>
      <c r="AD5" s="55"/>
      <c r="AE5" s="56"/>
      <c r="AF5" s="56"/>
      <c r="AG5" s="56"/>
      <c r="AH5" s="23"/>
      <c r="AI5" s="23"/>
      <c r="AJ5" s="23"/>
    </row>
    <row r="6" spans="1:58" ht="22.5" customHeight="1" x14ac:dyDescent="0.4">
      <c r="A6" s="80"/>
      <c r="B6" s="80"/>
      <c r="C6" s="80"/>
      <c r="D6" s="80"/>
      <c r="E6" s="78"/>
      <c r="F6" s="117" t="s">
        <v>148</v>
      </c>
      <c r="G6" s="89"/>
      <c r="H6" s="80"/>
      <c r="I6" s="80"/>
      <c r="J6" s="80"/>
      <c r="K6" s="95"/>
      <c r="L6" s="130"/>
      <c r="M6" s="131" t="s">
        <v>137</v>
      </c>
      <c r="N6" s="131" t="s">
        <v>138</v>
      </c>
      <c r="O6" s="131" t="s">
        <v>139</v>
      </c>
      <c r="P6" s="131" t="s">
        <v>140</v>
      </c>
      <c r="Q6" s="131" t="s">
        <v>141</v>
      </c>
      <c r="R6" s="131" t="s">
        <v>142</v>
      </c>
      <c r="S6" s="131"/>
      <c r="T6" s="131"/>
      <c r="U6" s="131"/>
      <c r="V6" s="51"/>
      <c r="W6" s="42"/>
      <c r="X6" s="51"/>
      <c r="Y6" s="51"/>
      <c r="Z6" s="51"/>
      <c r="AA6" s="51"/>
      <c r="AB6" s="52"/>
      <c r="AC6" s="52"/>
      <c r="AD6" s="52"/>
      <c r="AE6" s="52"/>
      <c r="AF6" s="52"/>
      <c r="AG6" s="52"/>
      <c r="AH6" s="24"/>
      <c r="AI6" s="24"/>
      <c r="AJ6" s="24"/>
      <c r="AK6" s="1"/>
      <c r="AL6" s="1"/>
      <c r="AM6" s="1"/>
      <c r="AN6" s="1"/>
      <c r="AO6" s="4"/>
      <c r="AP6" s="4"/>
      <c r="AQ6" s="4"/>
      <c r="AR6" s="4"/>
      <c r="AS6" s="4"/>
      <c r="AT6" s="4"/>
      <c r="AU6" s="4"/>
      <c r="AV6" s="4"/>
      <c r="AW6" s="4"/>
      <c r="AX6" s="4"/>
      <c r="AY6" s="4"/>
      <c r="AZ6" s="4"/>
      <c r="BA6" s="4"/>
      <c r="BB6" s="4"/>
      <c r="BC6" s="4"/>
      <c r="BD6" s="4"/>
      <c r="BE6" s="4"/>
      <c r="BF6" s="4"/>
    </row>
    <row r="7" spans="1:58" ht="22.5" customHeight="1" x14ac:dyDescent="0.4">
      <c r="A7" s="80"/>
      <c r="B7" s="158" t="s">
        <v>1</v>
      </c>
      <c r="C7" s="159"/>
      <c r="D7" s="160"/>
      <c r="E7" s="70" t="s">
        <v>26</v>
      </c>
      <c r="F7" s="71" t="s">
        <v>24</v>
      </c>
      <c r="G7" s="71" t="s">
        <v>25</v>
      </c>
      <c r="H7" s="72" t="s">
        <v>120</v>
      </c>
      <c r="I7" s="72" t="s">
        <v>121</v>
      </c>
      <c r="J7" s="71" t="s">
        <v>99</v>
      </c>
      <c r="K7" s="96"/>
      <c r="L7" s="137"/>
      <c r="M7" s="138" t="s">
        <v>135</v>
      </c>
      <c r="N7" s="138" t="s">
        <v>145</v>
      </c>
      <c r="O7" s="138" t="s">
        <v>146</v>
      </c>
      <c r="P7" s="139" t="s">
        <v>134</v>
      </c>
      <c r="Q7" s="139" t="s">
        <v>133</v>
      </c>
      <c r="R7" s="139" t="s">
        <v>136</v>
      </c>
      <c r="S7" s="140"/>
      <c r="T7" s="140"/>
      <c r="U7" s="140"/>
      <c r="V7" s="60"/>
      <c r="W7" s="113"/>
      <c r="X7" s="60"/>
      <c r="Y7" s="60"/>
      <c r="Z7" s="60"/>
      <c r="AA7" s="60"/>
      <c r="AB7" s="61"/>
      <c r="AC7" s="61"/>
      <c r="AD7" s="62"/>
      <c r="AE7" s="61"/>
      <c r="AF7" s="61"/>
      <c r="AG7" s="52"/>
      <c r="AH7" s="24"/>
      <c r="AI7" s="24"/>
      <c r="AJ7" s="24"/>
      <c r="AK7" s="1"/>
      <c r="AL7" s="1"/>
      <c r="AM7" s="1"/>
      <c r="AN7" s="1"/>
      <c r="AO7" s="5"/>
      <c r="AP7" s="6"/>
      <c r="AQ7" s="6"/>
      <c r="AR7" s="7"/>
      <c r="AS7" s="7"/>
      <c r="AT7" s="7"/>
      <c r="AU7" s="7"/>
      <c r="AV7" s="8"/>
      <c r="AW7" s="8"/>
      <c r="AX7" s="8"/>
      <c r="AY7" s="8"/>
      <c r="AZ7" s="8"/>
      <c r="BA7" s="8"/>
      <c r="BB7" s="8"/>
      <c r="BC7" s="8"/>
      <c r="BD7" s="8"/>
      <c r="BE7" s="8"/>
      <c r="BF7" s="8"/>
    </row>
    <row r="8" spans="1:58" ht="22.5" customHeight="1" x14ac:dyDescent="0.4">
      <c r="A8" s="80"/>
      <c r="B8" s="161" t="s">
        <v>119</v>
      </c>
      <c r="C8" s="164" t="s">
        <v>4</v>
      </c>
      <c r="D8" s="165"/>
      <c r="E8" s="123" t="s">
        <v>2</v>
      </c>
      <c r="F8" s="123" t="str">
        <f>IF($E$4="","",VLOOKUP($E$4,$B$31:$V$34,2,0))</f>
        <v/>
      </c>
      <c r="G8" s="126"/>
      <c r="H8" s="126"/>
      <c r="I8" s="126"/>
      <c r="J8" s="90" t="str">
        <f t="shared" ref="J8:J27" si="0">R8</f>
        <v>-</v>
      </c>
      <c r="K8" s="51" t="str">
        <f>IFERROR(IF(F8=0,"※荷役不可","")&amp;IF(P8&gt;1,"※許容量超過",IF(AND(G8&gt;=25,G8&lt;=(F8*1000)),"※事前相談","")),"")</f>
        <v/>
      </c>
      <c r="L8" s="141"/>
      <c r="M8" s="142" t="str">
        <f>IF($G8="","",($G8/1000)/$F8)</f>
        <v/>
      </c>
      <c r="N8" s="142" t="str">
        <f>IF($H8="","",($H8/1000)/($F8*2))</f>
        <v/>
      </c>
      <c r="O8" s="142" t="str">
        <f>IF($I8="","",($I8/1000)/($F8*5))</f>
        <v/>
      </c>
      <c r="P8" s="143">
        <f>IFERROR(SUM(M8:O8),0)</f>
        <v>0</v>
      </c>
      <c r="Q8" s="143">
        <f>SUM(M8:O8)</f>
        <v>0</v>
      </c>
      <c r="R8" s="144" t="str">
        <f>IFERROR(IF(F8=0,"×",IF(P8=0,"-",IF(P8&gt;1,"×","〇"))),"")</f>
        <v>-</v>
      </c>
      <c r="S8" s="131"/>
      <c r="T8" s="131"/>
      <c r="U8" s="131"/>
      <c r="V8" s="51"/>
      <c r="W8" s="119"/>
      <c r="X8" s="63"/>
      <c r="Y8" s="63"/>
      <c r="Z8" s="63"/>
      <c r="AA8" s="63"/>
      <c r="AH8" s="24"/>
      <c r="AI8" s="24"/>
      <c r="AJ8" s="24"/>
      <c r="AK8" s="11"/>
      <c r="AL8" s="11"/>
      <c r="AM8" s="11"/>
      <c r="AN8" s="11"/>
      <c r="AO8" s="5"/>
      <c r="AP8" s="9"/>
      <c r="AQ8" s="6"/>
      <c r="AR8" s="9"/>
      <c r="AS8" s="9"/>
      <c r="AT8" s="9"/>
      <c r="AU8" s="9"/>
      <c r="AV8" s="8"/>
      <c r="AW8" s="8"/>
      <c r="AX8" s="8"/>
      <c r="AY8" s="8"/>
      <c r="AZ8" s="8"/>
      <c r="BA8" s="8"/>
      <c r="BB8" s="8"/>
      <c r="BC8" s="8"/>
      <c r="BD8" s="8"/>
      <c r="BE8" s="8"/>
      <c r="BF8" s="8"/>
    </row>
    <row r="9" spans="1:58" ht="22.5" customHeight="1" x14ac:dyDescent="0.4">
      <c r="A9" s="80"/>
      <c r="B9" s="162"/>
      <c r="C9" s="164" t="s">
        <v>4</v>
      </c>
      <c r="D9" s="165"/>
      <c r="E9" s="123" t="s">
        <v>6</v>
      </c>
      <c r="F9" s="123" t="str">
        <f>IF($E$4="","",VLOOKUP($E$4,$B$31:$V$34,3,0))</f>
        <v/>
      </c>
      <c r="G9" s="126"/>
      <c r="H9" s="126"/>
      <c r="I9" s="126"/>
      <c r="J9" s="90" t="str">
        <f t="shared" si="0"/>
        <v>-</v>
      </c>
      <c r="K9" s="51" t="str">
        <f>IFERROR(IF(P9&gt;1,"※許容量超過",IF(AND(G9&gt;=1000,G9&lt;=(F9*1000)),"※事前相談","")),"")</f>
        <v/>
      </c>
      <c r="L9" s="141"/>
      <c r="M9" s="142" t="str">
        <f t="shared" ref="M9:M27" si="1">IF($G9="","",($G9/1000)/$F9)</f>
        <v/>
      </c>
      <c r="N9" s="142" t="str">
        <f t="shared" ref="N9:N22" si="2">IF($H9="","",($H9/1000)/($F9*2))</f>
        <v/>
      </c>
      <c r="O9" s="142" t="str">
        <f t="shared" ref="O9:O22" si="3">IF($I9="","",($I9/1000)/($F9*5))</f>
        <v/>
      </c>
      <c r="P9" s="143">
        <f t="shared" ref="P9:P22" si="4">IFERROR(SUM(M9:O9),0)</f>
        <v>0</v>
      </c>
      <c r="Q9" s="143">
        <f t="shared" ref="Q9:Q22" si="5">SUM(M9:O9)</f>
        <v>0</v>
      </c>
      <c r="R9" s="144" t="str">
        <f>IFERROR(IF(F9=0,"×",IF(P9=0,"-",IF(P9&gt;1,"×","〇"))),"")</f>
        <v>-</v>
      </c>
      <c r="S9" s="131"/>
      <c r="T9" s="131"/>
      <c r="U9" s="131"/>
      <c r="V9" s="51"/>
      <c r="W9" s="120"/>
      <c r="X9" s="64"/>
      <c r="Y9" s="64"/>
      <c r="Z9" s="64"/>
      <c r="AA9" s="64"/>
      <c r="AH9" s="24"/>
      <c r="AI9" s="24"/>
      <c r="AJ9" s="24"/>
      <c r="AK9" s="11"/>
      <c r="AL9" s="11"/>
      <c r="AM9" s="11"/>
      <c r="AN9" s="11"/>
      <c r="AO9" s="5"/>
      <c r="AP9" s="8"/>
      <c r="AQ9" s="8"/>
      <c r="AR9" s="8"/>
      <c r="AS9" s="8"/>
      <c r="AT9" s="8"/>
      <c r="AU9" s="8"/>
      <c r="AV9" s="8"/>
      <c r="AW9" s="8"/>
      <c r="AX9" s="8"/>
      <c r="AY9" s="8"/>
      <c r="AZ9" s="8"/>
      <c r="BA9" s="8"/>
      <c r="BB9" s="8"/>
      <c r="BC9" s="8"/>
      <c r="BD9" s="8"/>
      <c r="BE9" s="8"/>
      <c r="BF9" s="8"/>
    </row>
    <row r="10" spans="1:58" ht="22.5" customHeight="1" x14ac:dyDescent="0.4">
      <c r="A10" s="80"/>
      <c r="B10" s="163"/>
      <c r="C10" s="73" t="s">
        <v>123</v>
      </c>
      <c r="D10" s="74" t="s">
        <v>8</v>
      </c>
      <c r="E10" s="123">
        <v>5.2</v>
      </c>
      <c r="F10" s="123" t="str">
        <f>IF($E$4="","",VLOOKUP($E$4,$B$31:$V$34,4,0))</f>
        <v/>
      </c>
      <c r="G10" s="126"/>
      <c r="H10" s="126"/>
      <c r="I10" s="126"/>
      <c r="J10" s="90" t="str">
        <f t="shared" si="0"/>
        <v>-</v>
      </c>
      <c r="K10" s="92" t="str">
        <f t="shared" ref="K10:K22" si="6">IF(P10&gt;1,"※許容量超過","")</f>
        <v/>
      </c>
      <c r="L10" s="141"/>
      <c r="M10" s="142" t="str">
        <f t="shared" si="1"/>
        <v/>
      </c>
      <c r="N10" s="142" t="str">
        <f t="shared" si="2"/>
        <v/>
      </c>
      <c r="O10" s="142" t="str">
        <f t="shared" si="3"/>
        <v/>
      </c>
      <c r="P10" s="143">
        <f t="shared" si="4"/>
        <v>0</v>
      </c>
      <c r="Q10" s="143">
        <f t="shared" si="5"/>
        <v>0</v>
      </c>
      <c r="R10" s="144" t="str">
        <f t="shared" ref="R10:R22" si="7">IFERROR(IF(F10=0,"×",IF(P10=0,"-",IF(P10&gt;1,"×","〇"))),"")</f>
        <v>-</v>
      </c>
      <c r="S10" s="131"/>
      <c r="T10" s="131"/>
      <c r="U10" s="131"/>
      <c r="V10" s="51"/>
      <c r="W10" s="120"/>
      <c r="X10" s="64"/>
      <c r="Y10" s="64"/>
      <c r="Z10" s="64"/>
      <c r="AA10" s="64"/>
      <c r="AH10" s="24"/>
      <c r="AI10" s="24"/>
      <c r="AJ10" s="24"/>
      <c r="AK10" s="11"/>
      <c r="AL10" s="11"/>
      <c r="AM10" s="11"/>
      <c r="AN10" s="11"/>
      <c r="AO10" s="5"/>
      <c r="AP10" s="8"/>
      <c r="AQ10" s="8"/>
      <c r="AR10" s="8"/>
      <c r="AS10" s="8"/>
      <c r="AT10" s="8"/>
      <c r="AU10" s="8"/>
      <c r="AV10" s="8"/>
      <c r="AW10" s="8"/>
      <c r="AX10" s="8"/>
      <c r="AY10" s="8"/>
      <c r="AZ10" s="8"/>
      <c r="BA10" s="8"/>
      <c r="BB10" s="8"/>
      <c r="BC10" s="8"/>
      <c r="BD10" s="8"/>
      <c r="BE10" s="8"/>
      <c r="BF10" s="8"/>
    </row>
    <row r="11" spans="1:58" ht="22.5" customHeight="1" x14ac:dyDescent="0.4">
      <c r="A11" s="80"/>
      <c r="B11" s="161" t="s">
        <v>118</v>
      </c>
      <c r="C11" s="155" t="s">
        <v>124</v>
      </c>
      <c r="D11" s="71" t="s">
        <v>9</v>
      </c>
      <c r="E11" s="124">
        <v>2.1</v>
      </c>
      <c r="F11" s="123" t="str">
        <f>IF($E$4="","",VLOOKUP($E$4,$B$31:$V$34,5,0))</f>
        <v/>
      </c>
      <c r="G11" s="126"/>
      <c r="H11" s="126"/>
      <c r="I11" s="126"/>
      <c r="J11" s="90" t="str">
        <f t="shared" si="0"/>
        <v>-</v>
      </c>
      <c r="K11" s="92" t="str">
        <f t="shared" si="6"/>
        <v/>
      </c>
      <c r="L11" s="141"/>
      <c r="M11" s="142" t="str">
        <f t="shared" si="1"/>
        <v/>
      </c>
      <c r="N11" s="142" t="str">
        <f t="shared" si="2"/>
        <v/>
      </c>
      <c r="O11" s="142" t="str">
        <f t="shared" si="3"/>
        <v/>
      </c>
      <c r="P11" s="143">
        <f t="shared" si="4"/>
        <v>0</v>
      </c>
      <c r="Q11" s="143">
        <f t="shared" si="5"/>
        <v>0</v>
      </c>
      <c r="R11" s="144" t="str">
        <f t="shared" si="7"/>
        <v>-</v>
      </c>
      <c r="S11" s="131"/>
      <c r="T11" s="131"/>
      <c r="U11" s="131"/>
      <c r="V11" s="51"/>
      <c r="W11" s="120"/>
      <c r="X11" s="64"/>
      <c r="Y11" s="64"/>
      <c r="Z11" s="64"/>
      <c r="AA11" s="64"/>
      <c r="AH11" s="24"/>
      <c r="AI11" s="24"/>
      <c r="AJ11" s="31"/>
      <c r="AK11" s="20"/>
      <c r="AL11" s="20"/>
      <c r="AM11" s="10"/>
      <c r="AN11" s="10"/>
      <c r="AO11" s="10"/>
    </row>
    <row r="12" spans="1:58" ht="22.5" customHeight="1" x14ac:dyDescent="0.4">
      <c r="A12" s="80"/>
      <c r="B12" s="162"/>
      <c r="C12" s="155"/>
      <c r="D12" s="75" t="s">
        <v>101</v>
      </c>
      <c r="E12" s="125">
        <v>2.2000000000000002</v>
      </c>
      <c r="F12" s="123" t="str">
        <f>IF($E$4="","",VLOOKUP($E$4,$B$31:$V$34,6,0))</f>
        <v/>
      </c>
      <c r="G12" s="126"/>
      <c r="H12" s="126"/>
      <c r="I12" s="126"/>
      <c r="J12" s="90" t="str">
        <f t="shared" si="0"/>
        <v>-</v>
      </c>
      <c r="K12" s="92" t="str">
        <f t="shared" si="6"/>
        <v/>
      </c>
      <c r="L12" s="141"/>
      <c r="M12" s="142" t="str">
        <f t="shared" si="1"/>
        <v/>
      </c>
      <c r="N12" s="142" t="str">
        <f t="shared" si="2"/>
        <v/>
      </c>
      <c r="O12" s="142" t="str">
        <f t="shared" si="3"/>
        <v/>
      </c>
      <c r="P12" s="143">
        <f t="shared" si="4"/>
        <v>0</v>
      </c>
      <c r="Q12" s="143">
        <f t="shared" si="5"/>
        <v>0</v>
      </c>
      <c r="R12" s="144" t="str">
        <f t="shared" si="7"/>
        <v>-</v>
      </c>
      <c r="S12" s="131"/>
      <c r="T12" s="131"/>
      <c r="U12" s="131"/>
      <c r="V12" s="51"/>
      <c r="W12" s="120"/>
      <c r="X12" s="64"/>
      <c r="Y12" s="64"/>
      <c r="Z12" s="64"/>
      <c r="AA12" s="64"/>
      <c r="AH12" s="24"/>
      <c r="AI12" s="24"/>
      <c r="AJ12" s="40"/>
      <c r="AK12" s="21"/>
      <c r="AL12" s="21"/>
      <c r="AM12" s="10"/>
      <c r="AN12" s="10"/>
      <c r="AO12" s="10"/>
    </row>
    <row r="13" spans="1:58" ht="22.5" customHeight="1" x14ac:dyDescent="0.4">
      <c r="A13" s="80"/>
      <c r="B13" s="162"/>
      <c r="C13" s="155"/>
      <c r="D13" s="71" t="s">
        <v>10</v>
      </c>
      <c r="E13" s="124">
        <v>2.2999999999999998</v>
      </c>
      <c r="F13" s="123" t="str">
        <f>IF($E$4="","",VLOOKUP($E$4,$B$31:$V$34,7,0))</f>
        <v/>
      </c>
      <c r="G13" s="126"/>
      <c r="H13" s="126"/>
      <c r="I13" s="126"/>
      <c r="J13" s="90" t="str">
        <f t="shared" si="0"/>
        <v>-</v>
      </c>
      <c r="K13" s="92" t="str">
        <f t="shared" si="6"/>
        <v/>
      </c>
      <c r="L13" s="141"/>
      <c r="M13" s="142" t="str">
        <f t="shared" si="1"/>
        <v/>
      </c>
      <c r="N13" s="142" t="str">
        <f t="shared" si="2"/>
        <v/>
      </c>
      <c r="O13" s="142" t="str">
        <f t="shared" si="3"/>
        <v/>
      </c>
      <c r="P13" s="143">
        <f t="shared" si="4"/>
        <v>0</v>
      </c>
      <c r="Q13" s="143">
        <f t="shared" si="5"/>
        <v>0</v>
      </c>
      <c r="R13" s="144" t="str">
        <f t="shared" si="7"/>
        <v>-</v>
      </c>
      <c r="S13" s="131"/>
      <c r="T13" s="131"/>
      <c r="U13" s="131"/>
      <c r="V13" s="51"/>
      <c r="W13" s="120"/>
      <c r="X13" s="64"/>
      <c r="Y13" s="64"/>
      <c r="Z13" s="64"/>
      <c r="AA13" s="64"/>
      <c r="AH13" s="24"/>
      <c r="AI13" s="24"/>
      <c r="AJ13" s="41"/>
      <c r="AK13" s="22"/>
      <c r="AL13" s="22"/>
      <c r="AM13" s="10"/>
      <c r="AN13" s="10"/>
      <c r="AO13" s="10"/>
    </row>
    <row r="14" spans="1:58" ht="22.5" customHeight="1" x14ac:dyDescent="0.4">
      <c r="A14" s="80"/>
      <c r="B14" s="162"/>
      <c r="C14" s="155" t="s">
        <v>125</v>
      </c>
      <c r="D14" s="71" t="s">
        <v>16</v>
      </c>
      <c r="E14" s="124">
        <v>3.1</v>
      </c>
      <c r="F14" s="123" t="str">
        <f>IF($E$4="","",VLOOKUP($E$4,$B$31:$V$34,8,0))</f>
        <v/>
      </c>
      <c r="G14" s="126"/>
      <c r="H14" s="126"/>
      <c r="I14" s="126"/>
      <c r="J14" s="90" t="str">
        <f t="shared" si="0"/>
        <v>-</v>
      </c>
      <c r="K14" s="92" t="str">
        <f t="shared" si="6"/>
        <v/>
      </c>
      <c r="L14" s="141"/>
      <c r="M14" s="142" t="str">
        <f t="shared" si="1"/>
        <v/>
      </c>
      <c r="N14" s="142" t="str">
        <f t="shared" si="2"/>
        <v/>
      </c>
      <c r="O14" s="142" t="str">
        <f t="shared" si="3"/>
        <v/>
      </c>
      <c r="P14" s="143">
        <f t="shared" si="4"/>
        <v>0</v>
      </c>
      <c r="Q14" s="143">
        <f t="shared" si="5"/>
        <v>0</v>
      </c>
      <c r="R14" s="144" t="str">
        <f t="shared" si="7"/>
        <v>-</v>
      </c>
      <c r="S14" s="131"/>
      <c r="T14" s="131"/>
      <c r="U14" s="131"/>
      <c r="V14" s="51"/>
      <c r="W14" s="120"/>
      <c r="X14" s="64"/>
      <c r="Y14" s="64"/>
      <c r="Z14" s="64"/>
      <c r="AA14" s="64"/>
      <c r="AH14" s="24"/>
      <c r="AI14" s="24"/>
      <c r="AJ14" s="31"/>
      <c r="AK14" s="20"/>
      <c r="AL14" s="20"/>
      <c r="AM14" s="10"/>
      <c r="AN14" s="10"/>
      <c r="AO14" s="10"/>
    </row>
    <row r="15" spans="1:58" ht="22.5" customHeight="1" x14ac:dyDescent="0.4">
      <c r="A15" s="80"/>
      <c r="B15" s="162"/>
      <c r="C15" s="155"/>
      <c r="D15" s="71" t="s">
        <v>17</v>
      </c>
      <c r="E15" s="124">
        <v>3.2</v>
      </c>
      <c r="F15" s="123" t="str">
        <f>IF($E$4="","",VLOOKUP($E$4,$B$31:$V$34,9,0))</f>
        <v/>
      </c>
      <c r="G15" s="126"/>
      <c r="H15" s="126"/>
      <c r="I15" s="126"/>
      <c r="J15" s="90" t="str">
        <f t="shared" si="0"/>
        <v>-</v>
      </c>
      <c r="K15" s="92" t="str">
        <f t="shared" si="6"/>
        <v/>
      </c>
      <c r="L15" s="141"/>
      <c r="M15" s="142" t="str">
        <f t="shared" si="1"/>
        <v/>
      </c>
      <c r="N15" s="142" t="str">
        <f t="shared" si="2"/>
        <v/>
      </c>
      <c r="O15" s="142" t="str">
        <f t="shared" si="3"/>
        <v/>
      </c>
      <c r="P15" s="143">
        <f t="shared" si="4"/>
        <v>0</v>
      </c>
      <c r="Q15" s="143">
        <f t="shared" si="5"/>
        <v>0</v>
      </c>
      <c r="R15" s="144" t="str">
        <f t="shared" si="7"/>
        <v>-</v>
      </c>
      <c r="S15" s="131"/>
      <c r="T15" s="131"/>
      <c r="U15" s="131"/>
      <c r="V15" s="51"/>
      <c r="W15" s="120"/>
      <c r="X15" s="64"/>
      <c r="Y15" s="64"/>
      <c r="Z15" s="64"/>
      <c r="AA15" s="64"/>
      <c r="AH15" s="24"/>
      <c r="AI15" s="24"/>
      <c r="AJ15" s="31"/>
      <c r="AK15" s="20"/>
      <c r="AL15" s="20"/>
      <c r="AM15" s="10"/>
      <c r="AN15" s="10"/>
      <c r="AO15" s="10"/>
    </row>
    <row r="16" spans="1:58" ht="22.5" customHeight="1" x14ac:dyDescent="0.4">
      <c r="A16" s="80"/>
      <c r="B16" s="162"/>
      <c r="C16" s="155"/>
      <c r="D16" s="71" t="s">
        <v>18</v>
      </c>
      <c r="E16" s="124">
        <v>3.3</v>
      </c>
      <c r="F16" s="123" t="str">
        <f>IF($E$4="","",VLOOKUP($E$4,$B$31:$V$34,10,0))</f>
        <v/>
      </c>
      <c r="G16" s="126"/>
      <c r="H16" s="126"/>
      <c r="I16" s="126"/>
      <c r="J16" s="90" t="str">
        <f t="shared" si="0"/>
        <v>-</v>
      </c>
      <c r="K16" s="92" t="str">
        <f t="shared" si="6"/>
        <v/>
      </c>
      <c r="L16" s="141"/>
      <c r="M16" s="142" t="str">
        <f t="shared" si="1"/>
        <v/>
      </c>
      <c r="N16" s="142" t="str">
        <f t="shared" si="2"/>
        <v/>
      </c>
      <c r="O16" s="142" t="str">
        <f t="shared" si="3"/>
        <v/>
      </c>
      <c r="P16" s="143">
        <f t="shared" si="4"/>
        <v>0</v>
      </c>
      <c r="Q16" s="143">
        <f t="shared" si="5"/>
        <v>0</v>
      </c>
      <c r="R16" s="144" t="str">
        <f t="shared" si="7"/>
        <v>-</v>
      </c>
      <c r="S16" s="131"/>
      <c r="T16" s="131"/>
      <c r="U16" s="131"/>
      <c r="V16" s="51"/>
      <c r="W16" s="120"/>
      <c r="X16" s="64"/>
      <c r="Y16" s="64"/>
      <c r="Z16" s="64"/>
      <c r="AA16" s="64"/>
      <c r="AH16" s="24"/>
      <c r="AI16" s="24"/>
      <c r="AJ16" s="31"/>
      <c r="AK16" s="20"/>
      <c r="AL16" s="20"/>
      <c r="AM16" s="10"/>
      <c r="AN16" s="10"/>
      <c r="AO16" s="10"/>
    </row>
    <row r="17" spans="1:42" ht="22.5" customHeight="1" x14ac:dyDescent="0.4">
      <c r="A17" s="80"/>
      <c r="B17" s="162"/>
      <c r="C17" s="155" t="s">
        <v>126</v>
      </c>
      <c r="D17" s="71" t="s">
        <v>11</v>
      </c>
      <c r="E17" s="125">
        <v>4.0999999999999996</v>
      </c>
      <c r="F17" s="123" t="str">
        <f>IF($E$4="","",VLOOKUP($E$4,$B$31:$V$34,11,0))</f>
        <v/>
      </c>
      <c r="G17" s="126"/>
      <c r="H17" s="126"/>
      <c r="I17" s="126"/>
      <c r="J17" s="90" t="str">
        <f t="shared" si="0"/>
        <v>-</v>
      </c>
      <c r="K17" s="92" t="str">
        <f t="shared" si="6"/>
        <v/>
      </c>
      <c r="L17" s="141"/>
      <c r="M17" s="142" t="str">
        <f t="shared" si="1"/>
        <v/>
      </c>
      <c r="N17" s="142" t="str">
        <f t="shared" si="2"/>
        <v/>
      </c>
      <c r="O17" s="142" t="str">
        <f t="shared" si="3"/>
        <v/>
      </c>
      <c r="P17" s="143">
        <f t="shared" si="4"/>
        <v>0</v>
      </c>
      <c r="Q17" s="143">
        <f t="shared" si="5"/>
        <v>0</v>
      </c>
      <c r="R17" s="144" t="str">
        <f t="shared" si="7"/>
        <v>-</v>
      </c>
      <c r="S17" s="131"/>
      <c r="T17" s="131"/>
      <c r="U17" s="131"/>
      <c r="V17" s="51"/>
      <c r="W17" s="120"/>
      <c r="X17" s="64"/>
      <c r="Y17" s="64"/>
      <c r="Z17" s="64"/>
      <c r="AA17" s="64"/>
      <c r="AH17" s="24"/>
      <c r="AI17" s="24"/>
      <c r="AJ17" s="40"/>
      <c r="AK17" s="21"/>
      <c r="AL17" s="20"/>
      <c r="AM17" s="10"/>
      <c r="AN17" s="10"/>
      <c r="AO17" s="10"/>
    </row>
    <row r="18" spans="1:42" ht="22.5" customHeight="1" x14ac:dyDescent="0.4">
      <c r="A18" s="80"/>
      <c r="B18" s="162"/>
      <c r="C18" s="155"/>
      <c r="D18" s="71" t="s">
        <v>15</v>
      </c>
      <c r="E18" s="124">
        <v>4.2</v>
      </c>
      <c r="F18" s="123" t="str">
        <f>IF($E$4="","",VLOOKUP($E$4,$B$31:$V$34,12,0))</f>
        <v/>
      </c>
      <c r="G18" s="126"/>
      <c r="H18" s="126"/>
      <c r="I18" s="126"/>
      <c r="J18" s="90" t="str">
        <f t="shared" si="0"/>
        <v>-</v>
      </c>
      <c r="K18" s="92" t="str">
        <f t="shared" si="6"/>
        <v/>
      </c>
      <c r="L18" s="141"/>
      <c r="M18" s="142" t="str">
        <f t="shared" si="1"/>
        <v/>
      </c>
      <c r="N18" s="142" t="str">
        <f t="shared" si="2"/>
        <v/>
      </c>
      <c r="O18" s="142" t="str">
        <f t="shared" si="3"/>
        <v/>
      </c>
      <c r="P18" s="143">
        <f t="shared" si="4"/>
        <v>0</v>
      </c>
      <c r="Q18" s="143">
        <f t="shared" si="5"/>
        <v>0</v>
      </c>
      <c r="R18" s="144" t="str">
        <f t="shared" si="7"/>
        <v>-</v>
      </c>
      <c r="S18" s="131"/>
      <c r="T18" s="131"/>
      <c r="U18" s="131"/>
      <c r="V18" s="51"/>
      <c r="W18" s="120"/>
      <c r="X18" s="64"/>
      <c r="Y18" s="64"/>
      <c r="Z18" s="64"/>
      <c r="AA18" s="64"/>
      <c r="AH18" s="24"/>
      <c r="AI18" s="24"/>
      <c r="AJ18" s="41"/>
      <c r="AK18" s="22"/>
      <c r="AL18" s="20"/>
      <c r="AM18" s="10"/>
      <c r="AN18" s="10"/>
      <c r="AO18" s="10"/>
    </row>
    <row r="19" spans="1:42" ht="22.5" customHeight="1" x14ac:dyDescent="0.4">
      <c r="A19" s="80"/>
      <c r="B19" s="162"/>
      <c r="C19" s="155"/>
      <c r="D19" s="71" t="s">
        <v>19</v>
      </c>
      <c r="E19" s="124">
        <v>4.3</v>
      </c>
      <c r="F19" s="123" t="str">
        <f>IF($E$4="","",VLOOKUP($E$4,$B$31:$V$34,13,0))</f>
        <v/>
      </c>
      <c r="G19" s="126"/>
      <c r="H19" s="126"/>
      <c r="I19" s="126"/>
      <c r="J19" s="90" t="str">
        <f t="shared" si="0"/>
        <v>-</v>
      </c>
      <c r="K19" s="92" t="str">
        <f t="shared" si="6"/>
        <v/>
      </c>
      <c r="L19" s="141"/>
      <c r="M19" s="142" t="str">
        <f t="shared" si="1"/>
        <v/>
      </c>
      <c r="N19" s="142" t="str">
        <f t="shared" si="2"/>
        <v/>
      </c>
      <c r="O19" s="142" t="str">
        <f t="shared" si="3"/>
        <v/>
      </c>
      <c r="P19" s="143">
        <f t="shared" si="4"/>
        <v>0</v>
      </c>
      <c r="Q19" s="143">
        <f t="shared" si="5"/>
        <v>0</v>
      </c>
      <c r="R19" s="144" t="str">
        <f t="shared" si="7"/>
        <v>-</v>
      </c>
      <c r="S19" s="131"/>
      <c r="T19" s="131"/>
      <c r="U19" s="131"/>
      <c r="V19" s="51"/>
      <c r="W19" s="120"/>
      <c r="X19" s="64"/>
      <c r="Y19" s="64"/>
      <c r="Z19" s="64"/>
      <c r="AA19" s="64"/>
      <c r="AH19" s="24"/>
      <c r="AI19" s="24"/>
      <c r="AJ19" s="31"/>
      <c r="AK19" s="20"/>
      <c r="AL19" s="20"/>
      <c r="AM19" s="10"/>
      <c r="AN19" s="10"/>
      <c r="AO19" s="10"/>
    </row>
    <row r="20" spans="1:42" ht="22.5" customHeight="1" x14ac:dyDescent="0.4">
      <c r="A20" s="80"/>
      <c r="B20" s="162"/>
      <c r="C20" s="155" t="s">
        <v>127</v>
      </c>
      <c r="D20" s="71" t="s">
        <v>12</v>
      </c>
      <c r="E20" s="124">
        <v>5.0999999999999996</v>
      </c>
      <c r="F20" s="123" t="str">
        <f>IF($E$4="","",VLOOKUP($E$4,$B$31:$V$34,14,0))</f>
        <v/>
      </c>
      <c r="G20" s="126"/>
      <c r="H20" s="126"/>
      <c r="I20" s="126"/>
      <c r="J20" s="90" t="str">
        <f t="shared" si="0"/>
        <v>-</v>
      </c>
      <c r="K20" s="92" t="str">
        <f t="shared" si="6"/>
        <v/>
      </c>
      <c r="L20" s="141"/>
      <c r="M20" s="142" t="str">
        <f t="shared" si="1"/>
        <v/>
      </c>
      <c r="N20" s="142" t="str">
        <f t="shared" si="2"/>
        <v/>
      </c>
      <c r="O20" s="142" t="str">
        <f t="shared" si="3"/>
        <v/>
      </c>
      <c r="P20" s="143">
        <f t="shared" si="4"/>
        <v>0</v>
      </c>
      <c r="Q20" s="143">
        <f t="shared" si="5"/>
        <v>0</v>
      </c>
      <c r="R20" s="144" t="str">
        <f t="shared" si="7"/>
        <v>-</v>
      </c>
      <c r="S20" s="131"/>
      <c r="T20" s="131"/>
      <c r="U20" s="131"/>
      <c r="V20" s="51"/>
      <c r="W20" s="120"/>
      <c r="X20" s="64"/>
      <c r="Y20" s="64"/>
      <c r="Z20" s="64"/>
      <c r="AA20" s="64"/>
      <c r="AH20" s="24"/>
      <c r="AI20" s="24"/>
      <c r="AJ20" s="31"/>
      <c r="AK20" s="20"/>
      <c r="AL20" s="20"/>
      <c r="AM20" s="10"/>
      <c r="AN20" s="10"/>
      <c r="AO20" s="10"/>
    </row>
    <row r="21" spans="1:42" ht="22.5" customHeight="1" x14ac:dyDescent="0.4">
      <c r="A21" s="80"/>
      <c r="B21" s="162"/>
      <c r="C21" s="155"/>
      <c r="D21" s="75" t="s">
        <v>102</v>
      </c>
      <c r="E21" s="124">
        <v>5.2</v>
      </c>
      <c r="F21" s="123" t="str">
        <f>IF($E$4="","",VLOOKUP($E$4,$B$31:$V$34,15,0))</f>
        <v/>
      </c>
      <c r="G21" s="126"/>
      <c r="H21" s="126"/>
      <c r="I21" s="126"/>
      <c r="J21" s="90" t="str">
        <f t="shared" si="0"/>
        <v>-</v>
      </c>
      <c r="K21" s="92" t="str">
        <f t="shared" si="6"/>
        <v/>
      </c>
      <c r="L21" s="141"/>
      <c r="M21" s="142" t="str">
        <f t="shared" si="1"/>
        <v/>
      </c>
      <c r="N21" s="142" t="str">
        <f t="shared" si="2"/>
        <v/>
      </c>
      <c r="O21" s="142" t="str">
        <f t="shared" si="3"/>
        <v/>
      </c>
      <c r="P21" s="143">
        <f t="shared" si="4"/>
        <v>0</v>
      </c>
      <c r="Q21" s="143">
        <f t="shared" si="5"/>
        <v>0</v>
      </c>
      <c r="R21" s="144" t="str">
        <f t="shared" si="7"/>
        <v>-</v>
      </c>
      <c r="S21" s="131"/>
      <c r="T21" s="131"/>
      <c r="U21" s="131"/>
      <c r="V21" s="51"/>
      <c r="W21" s="120"/>
      <c r="X21" s="64"/>
      <c r="Y21" s="64"/>
      <c r="Z21" s="64"/>
      <c r="AA21" s="64"/>
      <c r="AH21" s="24"/>
      <c r="AI21" s="24"/>
      <c r="AJ21" s="31"/>
      <c r="AK21" s="20"/>
      <c r="AL21" s="20"/>
      <c r="AM21" s="10"/>
      <c r="AN21" s="10"/>
      <c r="AO21" s="10"/>
    </row>
    <row r="22" spans="1:42" ht="22.5" customHeight="1" x14ac:dyDescent="0.4">
      <c r="A22" s="80"/>
      <c r="B22" s="162"/>
      <c r="C22" s="76" t="s">
        <v>128</v>
      </c>
      <c r="D22" s="71" t="s">
        <v>3</v>
      </c>
      <c r="E22" s="124">
        <v>6.1</v>
      </c>
      <c r="F22" s="123" t="str">
        <f>IF($E$4="","",VLOOKUP($E$4,$B$31:$V$34,16,0))</f>
        <v/>
      </c>
      <c r="G22" s="126"/>
      <c r="H22" s="126"/>
      <c r="I22" s="126"/>
      <c r="J22" s="90" t="str">
        <f t="shared" si="0"/>
        <v>-</v>
      </c>
      <c r="K22" s="92" t="str">
        <f t="shared" si="6"/>
        <v/>
      </c>
      <c r="L22" s="141"/>
      <c r="M22" s="142" t="str">
        <f t="shared" si="1"/>
        <v/>
      </c>
      <c r="N22" s="142" t="str">
        <f t="shared" si="2"/>
        <v/>
      </c>
      <c r="O22" s="142" t="str">
        <f t="shared" si="3"/>
        <v/>
      </c>
      <c r="P22" s="143">
        <f t="shared" si="4"/>
        <v>0</v>
      </c>
      <c r="Q22" s="143">
        <f t="shared" si="5"/>
        <v>0</v>
      </c>
      <c r="R22" s="144" t="str">
        <f t="shared" si="7"/>
        <v>-</v>
      </c>
      <c r="S22" s="131"/>
      <c r="T22" s="131"/>
      <c r="U22" s="131"/>
      <c r="V22" s="51"/>
      <c r="W22" s="120"/>
      <c r="X22" s="64"/>
      <c r="Y22" s="64"/>
      <c r="Z22" s="64"/>
      <c r="AA22" s="64"/>
      <c r="AH22" s="24"/>
      <c r="AI22" s="24"/>
      <c r="AJ22" s="31"/>
      <c r="AK22" s="20"/>
      <c r="AL22" s="20"/>
      <c r="AM22" s="10"/>
      <c r="AN22" s="10"/>
      <c r="AO22" s="10"/>
    </row>
    <row r="23" spans="1:42" ht="22.5" customHeight="1" x14ac:dyDescent="0.4">
      <c r="A23" s="80"/>
      <c r="B23" s="162"/>
      <c r="C23" s="155" t="s">
        <v>129</v>
      </c>
      <c r="D23" s="75" t="s">
        <v>60</v>
      </c>
      <c r="E23" s="124">
        <v>7</v>
      </c>
      <c r="F23" s="123" t="str">
        <f>IF($E$4="","",VLOOKUP($E$4,$B$31:$V$34,17,0))</f>
        <v/>
      </c>
      <c r="G23" s="126"/>
      <c r="H23" s="126"/>
      <c r="I23" s="126"/>
      <c r="J23" s="90" t="str">
        <f t="shared" si="0"/>
        <v>-</v>
      </c>
      <c r="K23" s="51" t="str">
        <f>IF(F23=0,"※荷役不可","")</f>
        <v/>
      </c>
      <c r="L23" s="141"/>
      <c r="M23" s="142" t="str">
        <f t="shared" ref="M23:O25" si="8">IF(G23="","",1)</f>
        <v/>
      </c>
      <c r="N23" s="142" t="str">
        <f t="shared" si="8"/>
        <v/>
      </c>
      <c r="O23" s="142" t="str">
        <f t="shared" si="8"/>
        <v/>
      </c>
      <c r="P23" s="143" t="str">
        <f>IF(COUNT(M23:O23),1,"")</f>
        <v/>
      </c>
      <c r="Q23" s="145" t="b">
        <f>AND(SUM(M23:O23),IFERROR(COUNT(M23:O23),0))</f>
        <v>0</v>
      </c>
      <c r="R23" s="144" t="str">
        <f>IF(F23=0,"×",IF(P23=0,"-",IF(P23&gt;1,"-","事前相談")))</f>
        <v>-</v>
      </c>
      <c r="S23" s="131"/>
      <c r="T23" s="131"/>
      <c r="U23" s="131"/>
      <c r="V23" s="51"/>
      <c r="W23" s="119"/>
      <c r="X23" s="63"/>
      <c r="Y23" s="63"/>
      <c r="Z23" s="63"/>
      <c r="AA23" s="63"/>
      <c r="AH23" s="24"/>
      <c r="AI23" s="24"/>
      <c r="AJ23" s="31"/>
      <c r="AK23" s="20"/>
      <c r="AL23" s="20"/>
      <c r="AM23" s="10"/>
      <c r="AN23" s="10"/>
      <c r="AO23" s="10"/>
    </row>
    <row r="24" spans="1:42" ht="22.5" customHeight="1" x14ac:dyDescent="0.4">
      <c r="A24" s="80"/>
      <c r="B24" s="162"/>
      <c r="C24" s="155"/>
      <c r="D24" s="75" t="s">
        <v>63</v>
      </c>
      <c r="E24" s="124">
        <v>7</v>
      </c>
      <c r="F24" s="123" t="str">
        <f>IF($E$4="","",VLOOKUP($E$4,$B$31:$V$34,18,0))</f>
        <v/>
      </c>
      <c r="G24" s="126"/>
      <c r="H24" s="126"/>
      <c r="I24" s="126"/>
      <c r="J24" s="90" t="str">
        <f t="shared" si="0"/>
        <v>-</v>
      </c>
      <c r="K24" s="51" t="str">
        <f t="shared" ref="K24:K25" si="9">IF(F24=0,"※荷役不可","")</f>
        <v/>
      </c>
      <c r="L24" s="141"/>
      <c r="M24" s="142" t="str">
        <f t="shared" si="8"/>
        <v/>
      </c>
      <c r="N24" s="142" t="str">
        <f t="shared" si="8"/>
        <v/>
      </c>
      <c r="O24" s="142" t="str">
        <f t="shared" si="8"/>
        <v/>
      </c>
      <c r="P24" s="143" t="str">
        <f>IF(COUNT(M24:O24),1,"")</f>
        <v/>
      </c>
      <c r="Q24" s="145" t="b">
        <f t="shared" ref="Q24:Q25" si="10">AND(SUM(M24:O24),IFERROR(COUNT(M24:O24),0.00001))</f>
        <v>0</v>
      </c>
      <c r="R24" s="144" t="str">
        <f>IF(F24=0,"×",IF(P24=0,"-",IF(P24&gt;1,"-","事前相談")))</f>
        <v>-</v>
      </c>
      <c r="S24" s="131"/>
      <c r="T24" s="131"/>
      <c r="U24" s="131"/>
      <c r="V24" s="51"/>
      <c r="W24" s="119"/>
      <c r="X24" s="63"/>
      <c r="Y24" s="63"/>
      <c r="Z24" s="63"/>
      <c r="AA24" s="63"/>
      <c r="AH24" s="24"/>
      <c r="AI24" s="24"/>
      <c r="AJ24" s="31"/>
      <c r="AK24" s="20"/>
      <c r="AL24" s="20"/>
      <c r="AM24" s="10"/>
      <c r="AN24" s="10"/>
      <c r="AO24" s="10"/>
    </row>
    <row r="25" spans="1:42" ht="22.5" customHeight="1" x14ac:dyDescent="0.4">
      <c r="A25" s="80"/>
      <c r="B25" s="162"/>
      <c r="C25" s="155"/>
      <c r="D25" s="75" t="s">
        <v>65</v>
      </c>
      <c r="E25" s="124">
        <v>7</v>
      </c>
      <c r="F25" s="123" t="str">
        <f>IF($E$4="","",VLOOKUP($E$4,$B$31:$V$34,19,0))</f>
        <v/>
      </c>
      <c r="G25" s="126"/>
      <c r="H25" s="126"/>
      <c r="I25" s="126"/>
      <c r="J25" s="90" t="str">
        <f t="shared" si="0"/>
        <v>-</v>
      </c>
      <c r="K25" s="51" t="str">
        <f t="shared" si="9"/>
        <v/>
      </c>
      <c r="L25" s="141"/>
      <c r="M25" s="142" t="str">
        <f t="shared" si="8"/>
        <v/>
      </c>
      <c r="N25" s="142" t="str">
        <f t="shared" si="8"/>
        <v/>
      </c>
      <c r="O25" s="142" t="str">
        <f t="shared" si="8"/>
        <v/>
      </c>
      <c r="P25" s="143" t="str">
        <f>IF(COUNT(M25:O25),1,"")</f>
        <v/>
      </c>
      <c r="Q25" s="145" t="b">
        <f t="shared" si="10"/>
        <v>0</v>
      </c>
      <c r="R25" s="144" t="str">
        <f>IF(F25=0,"×",IF(P25=0,"-",IF(P25&gt;1,"-","事前相談")))</f>
        <v>-</v>
      </c>
      <c r="S25" s="131"/>
      <c r="T25" s="131"/>
      <c r="U25" s="131"/>
      <c r="V25" s="51"/>
      <c r="W25" s="119"/>
      <c r="X25" s="63"/>
      <c r="Y25" s="63"/>
      <c r="Z25" s="63"/>
      <c r="AA25" s="63"/>
      <c r="AH25" s="24"/>
      <c r="AI25" s="24"/>
      <c r="AJ25" s="31"/>
      <c r="AK25" s="20"/>
      <c r="AL25" s="20"/>
      <c r="AM25" s="10"/>
      <c r="AN25" s="10"/>
      <c r="AO25" s="10"/>
    </row>
    <row r="26" spans="1:42" ht="22.5" customHeight="1" x14ac:dyDescent="0.4">
      <c r="A26" s="80"/>
      <c r="B26" s="162"/>
      <c r="C26" s="76" t="s">
        <v>130</v>
      </c>
      <c r="D26" s="71" t="s">
        <v>13</v>
      </c>
      <c r="E26" s="124">
        <v>8</v>
      </c>
      <c r="F26" s="123" t="str">
        <f>IF($E$4="","",VLOOKUP($E$4,$B$31:$V$34,20,0))</f>
        <v/>
      </c>
      <c r="G26" s="126"/>
      <c r="H26" s="126"/>
      <c r="I26" s="126"/>
      <c r="J26" s="90" t="str">
        <f t="shared" si="0"/>
        <v>-</v>
      </c>
      <c r="K26" s="51" t="str">
        <f>IF(P26&gt;1,"※許容量超過","")</f>
        <v/>
      </c>
      <c r="L26" s="141"/>
      <c r="M26" s="142" t="str">
        <f t="shared" si="1"/>
        <v/>
      </c>
      <c r="N26" s="142" t="str">
        <f>IF($H26="","",($H26/1000)/($F26*2))</f>
        <v/>
      </c>
      <c r="O26" s="142" t="str">
        <f>IF($I26="","",($I26/1000)/($F26*5))</f>
        <v/>
      </c>
      <c r="P26" s="143">
        <f>IFERROR(SUM(M26:O26),0)</f>
        <v>0</v>
      </c>
      <c r="Q26" s="143"/>
      <c r="R26" s="146" t="str">
        <f>IFERROR(IF(F26=0,"×",IF(P26=0,"-",IF(P26&gt;1,"×","〇"))),0)</f>
        <v>-</v>
      </c>
      <c r="S26" s="131"/>
      <c r="T26" s="131"/>
      <c r="U26" s="131"/>
      <c r="V26" s="51"/>
      <c r="W26" s="120"/>
      <c r="X26" s="64"/>
      <c r="Y26" s="64"/>
      <c r="Z26" s="64"/>
      <c r="AA26" s="64"/>
      <c r="AH26" s="24"/>
      <c r="AI26" s="24"/>
      <c r="AJ26" s="31"/>
      <c r="AK26" s="20"/>
      <c r="AL26" s="20"/>
      <c r="AM26" s="10"/>
      <c r="AN26" s="10"/>
      <c r="AO26" s="10"/>
    </row>
    <row r="27" spans="1:42" ht="22.5" customHeight="1" x14ac:dyDescent="0.4">
      <c r="A27" s="80"/>
      <c r="B27" s="163"/>
      <c r="C27" s="76" t="s">
        <v>131</v>
      </c>
      <c r="D27" s="71" t="s">
        <v>14</v>
      </c>
      <c r="E27" s="124">
        <v>9</v>
      </c>
      <c r="F27" s="123" t="str">
        <f>IF($E$4="","",VLOOKUP($E$4,$B$31:$V$34,21,0))</f>
        <v/>
      </c>
      <c r="G27" s="126"/>
      <c r="H27" s="126"/>
      <c r="I27" s="126"/>
      <c r="J27" s="90" t="str">
        <f t="shared" si="0"/>
        <v>-</v>
      </c>
      <c r="K27" s="51" t="str">
        <f>IF(P27&gt;1,"※許容量超過","")</f>
        <v/>
      </c>
      <c r="L27" s="141"/>
      <c r="M27" s="142" t="str">
        <f t="shared" si="1"/>
        <v/>
      </c>
      <c r="N27" s="142" t="str">
        <f>IF($H27="","",($H27/1000)/($F27*2))</f>
        <v/>
      </c>
      <c r="O27" s="142" t="str">
        <f>IF($I27="","",($I27/1000)/($F27*5))</f>
        <v/>
      </c>
      <c r="P27" s="143">
        <f>IFERROR(SUM(M27:O27),0)</f>
        <v>0</v>
      </c>
      <c r="Q27" s="143"/>
      <c r="R27" s="146" t="str">
        <f>IFERROR(IF(F27=0,"×",IF(P27=0,"-",IF(P27&gt;1,"×","〇"))),0)</f>
        <v>-</v>
      </c>
      <c r="S27" s="131"/>
      <c r="T27" s="131"/>
      <c r="U27" s="131"/>
      <c r="V27" s="51"/>
      <c r="W27" s="120"/>
      <c r="X27" s="64"/>
      <c r="Y27" s="64"/>
      <c r="Z27" s="64"/>
      <c r="AA27" s="64"/>
      <c r="AH27" s="24"/>
      <c r="AI27" s="24"/>
      <c r="AJ27" s="31"/>
      <c r="AK27" s="20"/>
      <c r="AL27" s="20"/>
      <c r="AM27" s="10"/>
      <c r="AN27" s="10"/>
      <c r="AO27" s="10"/>
    </row>
    <row r="28" spans="1:42" ht="27" customHeight="1" x14ac:dyDescent="0.4">
      <c r="A28" s="80"/>
      <c r="B28" s="77" t="s">
        <v>100</v>
      </c>
      <c r="C28" s="156" t="s">
        <v>164</v>
      </c>
      <c r="D28" s="156"/>
      <c r="E28" s="156"/>
      <c r="F28" s="156"/>
      <c r="G28" s="156"/>
      <c r="H28" s="156"/>
      <c r="I28" s="156"/>
      <c r="J28" s="156"/>
      <c r="K28" s="156"/>
      <c r="L28" s="131"/>
      <c r="M28" s="147"/>
      <c r="N28" s="147"/>
      <c r="O28" s="147"/>
      <c r="P28" s="148">
        <f>IFERROR(SUM(P8:P22),2)</f>
        <v>0</v>
      </c>
      <c r="Q28" s="148" t="b">
        <f>IF(COUNT(M23:O25),0.0000001)</f>
        <v>0</v>
      </c>
      <c r="R28" s="149"/>
      <c r="S28" s="131"/>
      <c r="T28" s="131"/>
      <c r="U28" s="131"/>
      <c r="V28" s="51"/>
      <c r="W28" s="113"/>
      <c r="X28" s="60"/>
      <c r="Y28" s="60"/>
      <c r="Z28" s="60"/>
      <c r="AA28" s="60"/>
      <c r="AH28" s="24"/>
      <c r="AI28" s="24"/>
      <c r="AJ28" s="23"/>
      <c r="AK28" s="10"/>
      <c r="AL28" s="10"/>
      <c r="AM28" s="10"/>
      <c r="AN28" s="10"/>
      <c r="AO28" s="10"/>
    </row>
    <row r="29" spans="1:42" ht="27.75" customHeight="1" x14ac:dyDescent="0.4">
      <c r="A29" s="80"/>
      <c r="B29" s="79"/>
      <c r="C29" s="156"/>
      <c r="D29" s="156"/>
      <c r="E29" s="156"/>
      <c r="F29" s="156"/>
      <c r="G29" s="156"/>
      <c r="H29" s="156"/>
      <c r="I29" s="156"/>
      <c r="J29" s="156"/>
      <c r="K29" s="156"/>
      <c r="L29" s="131"/>
      <c r="M29" s="147"/>
      <c r="N29" s="147"/>
      <c r="O29" s="147"/>
      <c r="P29" s="147">
        <f>IFERROR(SUM(P26:P27),2)</f>
        <v>0</v>
      </c>
      <c r="Q29" s="147">
        <f>SUM(Q8:Q22)+SUM(Q26:Q28)</f>
        <v>0</v>
      </c>
      <c r="R29" s="149"/>
      <c r="S29" s="131"/>
      <c r="T29" s="131"/>
      <c r="U29" s="131"/>
      <c r="V29" s="51"/>
      <c r="W29" s="45"/>
      <c r="X29" s="66"/>
      <c r="Y29" s="66"/>
      <c r="Z29" s="66"/>
      <c r="AA29" s="66"/>
      <c r="AH29" s="24"/>
      <c r="AI29" s="24"/>
      <c r="AJ29" s="23"/>
      <c r="AK29" s="10"/>
      <c r="AL29" s="10"/>
      <c r="AM29" s="10"/>
      <c r="AN29" s="10"/>
      <c r="AO29" s="10"/>
    </row>
    <row r="30" spans="1:42" ht="22.5" customHeight="1" x14ac:dyDescent="0.4">
      <c r="A30" s="26"/>
      <c r="B30" s="26"/>
      <c r="C30" s="26"/>
      <c r="D30" s="45"/>
      <c r="E30" s="45"/>
      <c r="F30" s="45"/>
      <c r="G30" s="45"/>
      <c r="H30" s="45"/>
      <c r="I30" s="45"/>
      <c r="J30" s="45"/>
      <c r="K30" s="97"/>
      <c r="L30" s="46"/>
      <c r="M30" s="46"/>
      <c r="N30" s="46"/>
      <c r="O30" s="46"/>
      <c r="P30" s="46"/>
      <c r="Q30" s="46"/>
      <c r="R30" s="46"/>
      <c r="S30" s="46"/>
      <c r="T30" s="46"/>
      <c r="U30" s="46"/>
      <c r="V30" s="46"/>
      <c r="W30" s="67"/>
      <c r="X30" s="67"/>
      <c r="Y30" s="67"/>
      <c r="Z30" s="67"/>
      <c r="AA30" s="67"/>
      <c r="AB30" s="68"/>
      <c r="AC30" s="68"/>
      <c r="AD30" s="68"/>
      <c r="AE30" s="65"/>
      <c r="AF30" s="65"/>
      <c r="AG30" s="65"/>
      <c r="AH30" s="24"/>
      <c r="AI30" s="11"/>
      <c r="AJ30" s="10"/>
    </row>
    <row r="31" spans="1:42" ht="22.5" customHeight="1" x14ac:dyDescent="0.4">
      <c r="A31" s="26"/>
      <c r="B31" s="26" t="s">
        <v>20</v>
      </c>
      <c r="C31" s="26">
        <v>0</v>
      </c>
      <c r="D31" s="47">
        <v>0.2</v>
      </c>
      <c r="E31" s="47">
        <v>0.5</v>
      </c>
      <c r="F31" s="47">
        <v>1</v>
      </c>
      <c r="G31" s="25">
        <v>5</v>
      </c>
      <c r="H31" s="25">
        <v>1</v>
      </c>
      <c r="I31" s="47">
        <v>2</v>
      </c>
      <c r="J31" s="47">
        <v>5</v>
      </c>
      <c r="K31" s="98">
        <v>10</v>
      </c>
      <c r="L31" s="47">
        <v>10</v>
      </c>
      <c r="M31" s="47">
        <v>5</v>
      </c>
      <c r="N31" s="47">
        <v>5</v>
      </c>
      <c r="O31" s="47">
        <v>5</v>
      </c>
      <c r="P31" s="47">
        <v>1</v>
      </c>
      <c r="Q31" s="47">
        <v>10</v>
      </c>
      <c r="R31" s="27">
        <v>0</v>
      </c>
      <c r="S31" s="27">
        <v>0</v>
      </c>
      <c r="T31" s="27">
        <v>0</v>
      </c>
      <c r="U31" s="47">
        <v>10</v>
      </c>
      <c r="V31" s="47">
        <v>10</v>
      </c>
      <c r="W31" s="51"/>
      <c r="X31" s="69"/>
      <c r="Y31" s="69"/>
      <c r="Z31" s="69"/>
      <c r="AA31" s="69"/>
      <c r="AB31" s="52"/>
      <c r="AC31" s="52"/>
      <c r="AD31" s="52"/>
      <c r="AE31" s="53"/>
      <c r="AF31" s="53"/>
      <c r="AG31" s="53"/>
      <c r="AH31" s="23"/>
      <c r="AO31" s="10"/>
      <c r="AP31" s="10"/>
    </row>
    <row r="32" spans="1:42" ht="21" customHeight="1" x14ac:dyDescent="0.4">
      <c r="A32" s="26"/>
      <c r="B32" s="26" t="s">
        <v>21</v>
      </c>
      <c r="C32" s="26">
        <v>5</v>
      </c>
      <c r="D32" s="47">
        <v>5</v>
      </c>
      <c r="E32" s="47">
        <v>10</v>
      </c>
      <c r="F32" s="47">
        <v>20</v>
      </c>
      <c r="G32" s="25">
        <v>100</v>
      </c>
      <c r="H32" s="25">
        <v>20</v>
      </c>
      <c r="I32" s="47">
        <v>50</v>
      </c>
      <c r="J32" s="47">
        <v>100</v>
      </c>
      <c r="K32" s="98">
        <v>250</v>
      </c>
      <c r="L32" s="47">
        <v>250</v>
      </c>
      <c r="M32" s="47">
        <v>100</v>
      </c>
      <c r="N32" s="47">
        <v>100</v>
      </c>
      <c r="O32" s="47">
        <v>100</v>
      </c>
      <c r="P32" s="47">
        <v>20</v>
      </c>
      <c r="Q32" s="47">
        <v>250</v>
      </c>
      <c r="R32" s="27">
        <v>0</v>
      </c>
      <c r="S32" s="27" t="s">
        <v>7</v>
      </c>
      <c r="T32" s="27" t="s">
        <v>7</v>
      </c>
      <c r="U32" s="47">
        <v>250</v>
      </c>
      <c r="V32" s="47">
        <v>250</v>
      </c>
      <c r="W32" s="51"/>
      <c r="X32" s="69"/>
      <c r="Y32" s="69"/>
      <c r="Z32" s="69"/>
      <c r="AA32" s="69"/>
      <c r="AB32" s="52"/>
      <c r="AC32" s="52"/>
      <c r="AD32" s="52"/>
      <c r="AE32" s="53"/>
      <c r="AF32" s="53"/>
      <c r="AG32" s="53"/>
      <c r="AH32" s="23"/>
      <c r="AO32" s="10"/>
      <c r="AP32" s="10"/>
    </row>
    <row r="33" spans="1:42" ht="21" customHeight="1" x14ac:dyDescent="0.4">
      <c r="A33" s="26"/>
      <c r="B33" s="26" t="s">
        <v>22</v>
      </c>
      <c r="C33" s="26">
        <v>20</v>
      </c>
      <c r="D33" s="47">
        <v>20</v>
      </c>
      <c r="E33" s="47">
        <v>50</v>
      </c>
      <c r="F33" s="47">
        <v>100</v>
      </c>
      <c r="G33" s="25">
        <v>500</v>
      </c>
      <c r="H33" s="25">
        <v>100</v>
      </c>
      <c r="I33" s="47">
        <v>250</v>
      </c>
      <c r="J33" s="47">
        <v>500</v>
      </c>
      <c r="K33" s="98">
        <v>1000</v>
      </c>
      <c r="L33" s="47">
        <v>1000</v>
      </c>
      <c r="M33" s="47">
        <v>500</v>
      </c>
      <c r="N33" s="47">
        <v>500</v>
      </c>
      <c r="O33" s="47">
        <v>500</v>
      </c>
      <c r="P33" s="47">
        <v>100</v>
      </c>
      <c r="Q33" s="47">
        <v>1000</v>
      </c>
      <c r="R33" s="27" t="s">
        <v>7</v>
      </c>
      <c r="S33" s="27" t="s">
        <v>7</v>
      </c>
      <c r="T33" s="27" t="s">
        <v>7</v>
      </c>
      <c r="U33" s="47">
        <v>1000</v>
      </c>
      <c r="V33" s="47">
        <v>1000</v>
      </c>
      <c r="W33" s="51"/>
      <c r="X33" s="69"/>
      <c r="Y33" s="69"/>
      <c r="Z33" s="69"/>
      <c r="AA33" s="69"/>
      <c r="AB33" s="52"/>
      <c r="AC33" s="52"/>
      <c r="AD33" s="52"/>
      <c r="AE33" s="53"/>
      <c r="AF33" s="53"/>
      <c r="AG33" s="53"/>
      <c r="AH33" s="23"/>
      <c r="AO33" s="10"/>
      <c r="AP33" s="10"/>
    </row>
    <row r="34" spans="1:42" x14ac:dyDescent="0.4">
      <c r="A34" s="26"/>
      <c r="B34" s="26" t="s">
        <v>23</v>
      </c>
      <c r="C34" s="26">
        <v>20</v>
      </c>
      <c r="D34" s="47">
        <v>20</v>
      </c>
      <c r="E34" s="47">
        <v>200</v>
      </c>
      <c r="F34" s="47">
        <v>400</v>
      </c>
      <c r="G34" s="25">
        <v>2000</v>
      </c>
      <c r="H34" s="25">
        <v>400</v>
      </c>
      <c r="I34" s="47">
        <v>1000</v>
      </c>
      <c r="J34" s="47">
        <v>2000</v>
      </c>
      <c r="K34" s="98">
        <v>4000</v>
      </c>
      <c r="L34" s="47">
        <v>4000</v>
      </c>
      <c r="M34" s="47">
        <v>2000</v>
      </c>
      <c r="N34" s="47">
        <v>2000</v>
      </c>
      <c r="O34" s="47">
        <v>2000</v>
      </c>
      <c r="P34" s="47">
        <v>400</v>
      </c>
      <c r="Q34" s="47">
        <v>4000</v>
      </c>
      <c r="R34" s="27" t="s">
        <v>7</v>
      </c>
      <c r="S34" s="27" t="s">
        <v>7</v>
      </c>
      <c r="T34" s="27" t="s">
        <v>7</v>
      </c>
      <c r="U34" s="47">
        <v>4000</v>
      </c>
      <c r="V34" s="47">
        <v>4000</v>
      </c>
      <c r="W34" s="51"/>
      <c r="X34" s="69"/>
      <c r="Y34" s="69"/>
      <c r="Z34" s="69"/>
      <c r="AA34" s="69"/>
      <c r="AB34" s="52"/>
      <c r="AC34" s="52"/>
      <c r="AD34" s="52"/>
      <c r="AE34" s="53"/>
      <c r="AF34" s="53"/>
      <c r="AG34" s="53"/>
      <c r="AH34" s="23"/>
      <c r="AO34" s="10"/>
      <c r="AP34" s="10"/>
    </row>
    <row r="35" spans="1:42" x14ac:dyDescent="0.4">
      <c r="A35" s="107"/>
      <c r="B35" s="107"/>
      <c r="C35" s="107"/>
      <c r="D35" s="107"/>
      <c r="E35" s="107"/>
      <c r="F35" s="107"/>
      <c r="G35" s="107"/>
      <c r="H35" s="107"/>
      <c r="I35" s="107"/>
      <c r="J35" s="107"/>
      <c r="K35" s="108"/>
      <c r="L35" s="109"/>
      <c r="M35" s="109"/>
      <c r="N35" s="109"/>
      <c r="O35" s="109"/>
      <c r="P35" s="109"/>
      <c r="Q35" s="109"/>
      <c r="R35" s="109"/>
      <c r="S35" s="109"/>
      <c r="T35" s="110"/>
      <c r="U35" s="109"/>
      <c r="V35" s="109"/>
      <c r="W35" s="28"/>
      <c r="X35" s="28"/>
      <c r="Y35" s="28"/>
      <c r="Z35" s="28"/>
      <c r="AA35" s="28"/>
      <c r="AB35" s="24"/>
      <c r="AC35" s="24"/>
      <c r="AD35" s="24"/>
      <c r="AE35" s="23"/>
      <c r="AF35" s="23"/>
      <c r="AG35" s="23"/>
      <c r="AH35" s="23"/>
      <c r="AI35" s="10"/>
      <c r="AJ35" s="10"/>
      <c r="AK35" s="10"/>
      <c r="AL35" s="10"/>
      <c r="AM35" s="10"/>
      <c r="AN35" s="10"/>
      <c r="AO35" s="10"/>
      <c r="AP35" s="10"/>
    </row>
    <row r="36" spans="1:42" x14ac:dyDescent="0.4">
      <c r="A36" s="24"/>
      <c r="B36" s="24"/>
      <c r="C36" s="24"/>
      <c r="D36" s="24"/>
      <c r="E36" s="24"/>
      <c r="F36" s="24"/>
      <c r="G36" s="24"/>
      <c r="H36" s="24"/>
      <c r="I36" s="24"/>
      <c r="J36" s="24"/>
      <c r="K36" s="99"/>
      <c r="L36" s="28"/>
      <c r="M36" s="28"/>
      <c r="N36" s="28"/>
      <c r="O36" s="28"/>
      <c r="P36" s="28"/>
      <c r="Q36" s="28"/>
      <c r="R36" s="28"/>
      <c r="S36" s="28"/>
      <c r="T36" s="28"/>
      <c r="U36" s="28"/>
      <c r="V36" s="28"/>
      <c r="W36" s="28"/>
      <c r="X36" s="28"/>
      <c r="Y36" s="28"/>
      <c r="Z36" s="28"/>
      <c r="AA36" s="28"/>
      <c r="AB36" s="24"/>
      <c r="AC36" s="24"/>
      <c r="AD36" s="24"/>
      <c r="AE36" s="23"/>
      <c r="AF36" s="23"/>
      <c r="AG36" s="23"/>
      <c r="AH36" s="23"/>
      <c r="AI36" s="10"/>
      <c r="AJ36" s="10"/>
      <c r="AK36" s="10"/>
      <c r="AL36" s="10"/>
      <c r="AM36" s="10"/>
      <c r="AN36" s="10"/>
      <c r="AO36" s="10"/>
      <c r="AP36" s="10"/>
    </row>
    <row r="37" spans="1:42" x14ac:dyDescent="0.4">
      <c r="A37" s="31"/>
      <c r="B37" s="31"/>
      <c r="C37" s="31"/>
      <c r="D37" s="31"/>
      <c r="E37" s="31"/>
      <c r="F37" s="31"/>
      <c r="G37" s="31"/>
      <c r="H37" s="31"/>
      <c r="I37" s="24"/>
      <c r="J37" s="24"/>
      <c r="K37" s="106"/>
      <c r="L37" s="50"/>
      <c r="M37" s="50"/>
      <c r="N37" s="50"/>
      <c r="O37" s="50"/>
      <c r="P37" s="50"/>
      <c r="Q37" s="50"/>
      <c r="R37" s="50"/>
      <c r="S37" s="50"/>
      <c r="T37" s="50"/>
      <c r="U37" s="50"/>
      <c r="V37" s="50"/>
      <c r="W37" s="50"/>
      <c r="X37" s="50"/>
      <c r="Y37" s="50"/>
      <c r="Z37" s="50"/>
      <c r="AA37" s="50"/>
      <c r="AB37" s="24"/>
      <c r="AC37" s="24"/>
      <c r="AD37" s="24"/>
      <c r="AE37" s="23"/>
      <c r="AF37" s="23"/>
      <c r="AG37" s="23"/>
      <c r="AH37" s="23"/>
      <c r="AI37" s="10"/>
      <c r="AJ37" s="10"/>
      <c r="AK37" s="10"/>
      <c r="AL37" s="10"/>
      <c r="AM37" s="10"/>
      <c r="AN37" s="10"/>
      <c r="AO37" s="10"/>
      <c r="AP37" s="10"/>
    </row>
    <row r="38" spans="1:42" x14ac:dyDescent="0.4">
      <c r="A38" s="31"/>
      <c r="B38" s="31"/>
      <c r="C38" s="31"/>
      <c r="D38" s="31"/>
      <c r="E38" s="31"/>
      <c r="F38" s="31"/>
      <c r="G38" s="31"/>
      <c r="H38" s="31"/>
      <c r="I38" s="29"/>
      <c r="J38" s="30"/>
      <c r="K38" s="100"/>
      <c r="L38" s="50"/>
      <c r="M38" s="50"/>
      <c r="N38" s="50"/>
      <c r="O38" s="50"/>
      <c r="P38" s="50"/>
      <c r="Q38" s="50"/>
      <c r="R38" s="50"/>
      <c r="S38" s="50"/>
      <c r="T38" s="50"/>
      <c r="U38" s="50"/>
      <c r="V38" s="50"/>
      <c r="W38" s="50"/>
      <c r="X38" s="50"/>
      <c r="Y38" s="50"/>
      <c r="Z38" s="50"/>
      <c r="AA38" s="50"/>
      <c r="AB38" s="24"/>
      <c r="AC38" s="24"/>
      <c r="AD38" s="24"/>
      <c r="AE38" s="23"/>
      <c r="AF38" s="23"/>
      <c r="AG38" s="23"/>
      <c r="AH38" s="23"/>
      <c r="AI38" s="10"/>
      <c r="AJ38" s="10"/>
      <c r="AK38" s="10"/>
      <c r="AL38" s="10"/>
      <c r="AM38" s="10"/>
      <c r="AN38" s="10"/>
      <c r="AO38" s="10"/>
      <c r="AP38" s="10"/>
    </row>
    <row r="39" spans="1:42" x14ac:dyDescent="0.4">
      <c r="A39" s="31"/>
      <c r="B39" s="31"/>
      <c r="C39" s="31"/>
      <c r="D39" s="31"/>
      <c r="E39" s="31"/>
      <c r="F39" s="31"/>
      <c r="G39" s="31"/>
      <c r="H39" s="31"/>
      <c r="I39" s="30"/>
      <c r="J39" s="30"/>
      <c r="K39" s="100"/>
      <c r="L39" s="50"/>
      <c r="M39" s="50"/>
      <c r="N39" s="50"/>
      <c r="O39" s="50"/>
      <c r="P39" s="50"/>
      <c r="Q39" s="50"/>
      <c r="R39" s="50"/>
      <c r="S39" s="50"/>
      <c r="T39" s="50"/>
      <c r="U39" s="50"/>
      <c r="V39" s="50"/>
      <c r="W39" s="50"/>
      <c r="X39" s="50"/>
      <c r="Y39" s="50"/>
      <c r="Z39" s="50"/>
      <c r="AA39" s="50"/>
      <c r="AB39" s="24"/>
      <c r="AC39" s="24"/>
      <c r="AD39" s="24"/>
      <c r="AE39" s="23"/>
      <c r="AF39" s="23"/>
      <c r="AG39" s="23"/>
      <c r="AH39" s="23"/>
      <c r="AI39" s="10"/>
      <c r="AJ39" s="10"/>
      <c r="AK39" s="10"/>
      <c r="AL39" s="10"/>
      <c r="AM39" s="10"/>
      <c r="AN39" s="10"/>
      <c r="AO39" s="10"/>
      <c r="AP39" s="10"/>
    </row>
    <row r="40" spans="1:42" x14ac:dyDescent="0.4">
      <c r="A40" s="20"/>
      <c r="B40" s="20"/>
      <c r="C40" s="20"/>
      <c r="D40" s="20"/>
      <c r="E40" s="20"/>
      <c r="F40" s="20"/>
      <c r="G40" s="20"/>
      <c r="H40" s="20"/>
      <c r="I40" s="2"/>
      <c r="J40" s="2"/>
      <c r="K40" s="101"/>
      <c r="L40" s="50"/>
      <c r="M40" s="50"/>
      <c r="N40" s="50"/>
      <c r="O40" s="50"/>
      <c r="P40" s="50"/>
      <c r="Q40" s="50"/>
      <c r="R40" s="50"/>
      <c r="S40" s="50"/>
      <c r="T40" s="50"/>
      <c r="U40" s="50"/>
      <c r="V40" s="50"/>
      <c r="W40" s="50"/>
      <c r="X40" s="50"/>
      <c r="Y40" s="50"/>
      <c r="Z40" s="50"/>
      <c r="AA40" s="50"/>
      <c r="AB40" s="24"/>
      <c r="AC40" s="24"/>
      <c r="AD40" s="24"/>
      <c r="AE40" s="23"/>
      <c r="AF40" s="23"/>
      <c r="AG40" s="23"/>
      <c r="AH40" s="23"/>
      <c r="AI40" s="10"/>
      <c r="AJ40" s="10"/>
      <c r="AK40" s="10"/>
      <c r="AL40" s="10"/>
      <c r="AM40" s="10"/>
      <c r="AN40" s="10"/>
      <c r="AO40" s="10"/>
      <c r="AP40" s="10"/>
    </row>
    <row r="41" spans="1:42" x14ac:dyDescent="0.4">
      <c r="B41" s="11"/>
      <c r="C41" s="11"/>
      <c r="D41" s="11"/>
      <c r="E41" s="11"/>
      <c r="F41" s="11"/>
      <c r="G41" s="11"/>
      <c r="H41" s="11"/>
      <c r="I41" s="11"/>
      <c r="J41" s="11"/>
      <c r="K41" s="102"/>
      <c r="L41" s="28"/>
      <c r="M41" s="28"/>
      <c r="N41" s="28"/>
      <c r="O41" s="28"/>
      <c r="P41" s="28"/>
      <c r="Q41" s="28"/>
      <c r="R41" s="28"/>
      <c r="S41" s="28"/>
      <c r="T41" s="28"/>
      <c r="U41" s="28"/>
      <c r="V41" s="28"/>
      <c r="W41" s="28"/>
      <c r="X41" s="28"/>
      <c r="Y41" s="28"/>
      <c r="Z41" s="28"/>
      <c r="AA41" s="28"/>
      <c r="AB41" s="24"/>
      <c r="AC41" s="24"/>
      <c r="AD41" s="24"/>
      <c r="AE41" s="23"/>
      <c r="AF41" s="23"/>
      <c r="AG41" s="23"/>
      <c r="AH41" s="23"/>
      <c r="AI41" s="10"/>
      <c r="AJ41" s="10"/>
      <c r="AK41" s="10"/>
      <c r="AL41" s="10"/>
      <c r="AM41" s="10"/>
      <c r="AN41" s="10"/>
      <c r="AO41" s="10"/>
      <c r="AP41" s="10"/>
    </row>
    <row r="42" spans="1:42" x14ac:dyDescent="0.4">
      <c r="A42" s="20"/>
      <c r="B42" s="20"/>
      <c r="C42" s="20"/>
      <c r="D42" s="11"/>
      <c r="E42" s="11"/>
      <c r="F42" s="11"/>
      <c r="G42" s="11"/>
      <c r="H42" s="11"/>
      <c r="I42" s="11"/>
      <c r="J42" s="11"/>
      <c r="K42" s="102"/>
      <c r="L42" s="28"/>
      <c r="M42" s="28"/>
      <c r="N42" s="28"/>
      <c r="O42" s="28"/>
      <c r="P42" s="28"/>
      <c r="Q42" s="28"/>
      <c r="R42" s="28"/>
      <c r="S42" s="28"/>
      <c r="T42" s="28"/>
      <c r="U42" s="28"/>
      <c r="V42" s="28"/>
      <c r="W42" s="28"/>
      <c r="X42" s="28"/>
      <c r="Y42" s="28"/>
      <c r="Z42" s="28"/>
      <c r="AA42" s="28"/>
      <c r="AB42" s="24"/>
      <c r="AC42" s="24"/>
      <c r="AD42" s="24"/>
      <c r="AE42" s="23"/>
      <c r="AF42" s="23"/>
      <c r="AG42" s="23"/>
      <c r="AH42" s="23"/>
      <c r="AI42" s="10"/>
      <c r="AJ42" s="10"/>
      <c r="AK42" s="10"/>
      <c r="AL42" s="10"/>
      <c r="AM42" s="10"/>
      <c r="AN42" s="10"/>
      <c r="AO42" s="10"/>
      <c r="AP42" s="10"/>
    </row>
    <row r="43" spans="1:42" x14ac:dyDescent="0.4">
      <c r="A43" s="20"/>
      <c r="B43" s="20"/>
      <c r="C43" s="20"/>
      <c r="E43" s="1"/>
      <c r="L43" s="28"/>
      <c r="M43" s="28"/>
      <c r="N43" s="28"/>
      <c r="O43" s="28"/>
      <c r="P43" s="28"/>
      <c r="Q43" s="28"/>
      <c r="R43" s="28"/>
      <c r="S43" s="28"/>
      <c r="T43" s="28"/>
      <c r="U43" s="28"/>
      <c r="V43" s="28"/>
      <c r="W43" s="28"/>
      <c r="X43" s="28"/>
      <c r="Y43" s="28"/>
      <c r="Z43" s="28"/>
      <c r="AA43" s="28"/>
      <c r="AB43" s="24"/>
      <c r="AC43" s="24"/>
      <c r="AD43" s="24"/>
      <c r="AE43" s="23"/>
      <c r="AF43" s="23"/>
      <c r="AG43" s="23"/>
      <c r="AH43" s="23"/>
    </row>
    <row r="44" spans="1:42" x14ac:dyDescent="0.4">
      <c r="A44" s="20"/>
      <c r="B44" s="20"/>
      <c r="C44" s="20"/>
      <c r="E44" s="1"/>
      <c r="L44" s="28"/>
      <c r="M44" s="28"/>
      <c r="N44" s="28"/>
      <c r="O44" s="28"/>
      <c r="P44" s="28"/>
      <c r="Q44" s="28"/>
      <c r="R44" s="28"/>
      <c r="S44" s="28"/>
      <c r="T44" s="28"/>
      <c r="U44" s="28"/>
      <c r="V44" s="28"/>
      <c r="W44" s="28"/>
      <c r="X44" s="28"/>
      <c r="Y44" s="28"/>
      <c r="Z44" s="28"/>
      <c r="AA44" s="28"/>
      <c r="AB44" s="24"/>
      <c r="AC44" s="24"/>
      <c r="AD44" s="24"/>
      <c r="AE44" s="23"/>
      <c r="AF44" s="23"/>
      <c r="AG44" s="23"/>
      <c r="AH44" s="23"/>
    </row>
    <row r="45" spans="1:42" x14ac:dyDescent="0.4">
      <c r="A45" s="20"/>
      <c r="B45" s="20"/>
      <c r="C45" s="20"/>
      <c r="E45" s="1"/>
      <c r="L45" s="28"/>
      <c r="M45" s="28"/>
      <c r="N45" s="28"/>
      <c r="O45" s="28"/>
      <c r="P45" s="28"/>
      <c r="Q45" s="28"/>
      <c r="R45" s="28"/>
      <c r="S45" s="28"/>
      <c r="T45" s="28"/>
      <c r="U45" s="28"/>
      <c r="V45" s="28"/>
      <c r="W45" s="28"/>
      <c r="X45" s="28"/>
      <c r="Y45" s="28"/>
      <c r="Z45" s="28"/>
      <c r="AA45" s="28"/>
      <c r="AB45" s="24"/>
      <c r="AC45" s="24"/>
      <c r="AD45" s="24"/>
      <c r="AE45" s="23"/>
      <c r="AF45" s="23"/>
      <c r="AG45" s="23"/>
      <c r="AH45" s="23"/>
    </row>
    <row r="46" spans="1:42" x14ac:dyDescent="0.4">
      <c r="E46" s="1"/>
      <c r="L46" s="28"/>
      <c r="M46" s="28"/>
      <c r="N46" s="28"/>
      <c r="O46" s="28"/>
      <c r="P46" s="28"/>
      <c r="Q46" s="28"/>
      <c r="R46" s="28"/>
      <c r="S46" s="28"/>
      <c r="T46" s="28"/>
      <c r="U46" s="28"/>
      <c r="V46" s="28"/>
      <c r="W46" s="28"/>
      <c r="X46" s="28"/>
      <c r="Y46" s="28"/>
      <c r="Z46" s="28"/>
      <c r="AA46" s="28"/>
      <c r="AB46" s="24"/>
      <c r="AC46" s="24"/>
      <c r="AD46" s="24"/>
      <c r="AE46" s="23"/>
      <c r="AF46" s="23"/>
      <c r="AG46" s="23"/>
      <c r="AH46" s="23"/>
    </row>
    <row r="47" spans="1:42" x14ac:dyDescent="0.4">
      <c r="E47" s="1"/>
      <c r="L47" s="28"/>
      <c r="M47" s="28"/>
      <c r="N47" s="28"/>
      <c r="O47" s="28"/>
      <c r="P47" s="28"/>
      <c r="Q47" s="28"/>
      <c r="R47" s="28"/>
      <c r="S47" s="28"/>
      <c r="T47" s="28"/>
      <c r="U47" s="28"/>
      <c r="V47" s="28"/>
      <c r="W47" s="28"/>
      <c r="X47" s="28"/>
      <c r="Y47" s="28"/>
      <c r="Z47" s="28"/>
      <c r="AA47" s="28"/>
      <c r="AB47" s="24"/>
      <c r="AC47" s="24"/>
      <c r="AD47" s="24"/>
      <c r="AE47" s="23"/>
      <c r="AF47" s="23"/>
      <c r="AG47" s="23"/>
      <c r="AH47" s="23"/>
    </row>
    <row r="48" spans="1:42" x14ac:dyDescent="0.4">
      <c r="L48" s="28"/>
      <c r="M48" s="28"/>
      <c r="N48" s="28"/>
      <c r="O48" s="28"/>
      <c r="P48" s="28"/>
      <c r="Q48" s="28"/>
      <c r="R48" s="28"/>
      <c r="S48" s="28"/>
      <c r="T48" s="28"/>
      <c r="U48" s="28"/>
      <c r="V48" s="28"/>
      <c r="W48" s="28"/>
      <c r="X48" s="28"/>
      <c r="Y48" s="28"/>
      <c r="Z48" s="28"/>
      <c r="AA48" s="28"/>
      <c r="AB48" s="24"/>
      <c r="AC48" s="24"/>
      <c r="AD48" s="24"/>
      <c r="AE48" s="23"/>
      <c r="AF48" s="23"/>
      <c r="AG48" s="23"/>
      <c r="AH48" s="23"/>
    </row>
    <row r="49" spans="12:34" x14ac:dyDescent="0.4">
      <c r="L49" s="28"/>
      <c r="M49" s="28"/>
      <c r="N49" s="28"/>
      <c r="O49" s="28"/>
      <c r="P49" s="28"/>
      <c r="Q49" s="28"/>
      <c r="R49" s="28"/>
      <c r="S49" s="28"/>
      <c r="T49" s="28"/>
      <c r="U49" s="28"/>
      <c r="V49" s="28"/>
      <c r="W49" s="28"/>
      <c r="X49" s="28"/>
      <c r="Y49" s="28"/>
      <c r="Z49" s="28"/>
      <c r="AA49" s="28"/>
      <c r="AB49" s="24"/>
      <c r="AC49" s="24"/>
      <c r="AD49" s="24"/>
      <c r="AE49" s="23"/>
      <c r="AF49" s="23"/>
      <c r="AG49" s="23"/>
      <c r="AH49" s="23"/>
    </row>
  </sheetData>
  <sheetProtection password="CA83" sheet="1" selectLockedCells="1"/>
  <dataConsolidate/>
  <mergeCells count="13">
    <mergeCell ref="C28:K28"/>
    <mergeCell ref="C29:K29"/>
    <mergeCell ref="C17:C19"/>
    <mergeCell ref="C20:C21"/>
    <mergeCell ref="C23:C25"/>
    <mergeCell ref="B2:J2"/>
    <mergeCell ref="C8:D8"/>
    <mergeCell ref="C9:D9"/>
    <mergeCell ref="C11:C13"/>
    <mergeCell ref="C14:C16"/>
    <mergeCell ref="B7:D7"/>
    <mergeCell ref="B8:B10"/>
    <mergeCell ref="B11:B27"/>
  </mergeCells>
  <phoneticPr fontId="2"/>
  <conditionalFormatting sqref="J8:J27">
    <cfRule type="expression" dxfId="38" priority="84">
      <formula>J8="-"</formula>
    </cfRule>
    <cfRule type="expression" dxfId="37" priority="85">
      <formula>J8="〇"</formula>
    </cfRule>
    <cfRule type="expression" dxfId="36" priority="86">
      <formula>J8="×"</formula>
    </cfRule>
  </conditionalFormatting>
  <conditionalFormatting sqref="L8:L27">
    <cfRule type="expression" dxfId="35" priority="75">
      <formula>IF(G8&gt;=25,"※要現場確認","")</formula>
    </cfRule>
  </conditionalFormatting>
  <conditionalFormatting sqref="G8">
    <cfRule type="expression" dxfId="34" priority="57">
      <formula>F8&lt;(G8/1000)</formula>
    </cfRule>
    <cfRule type="expression" dxfId="33" priority="71">
      <formula>G8&lt;25</formula>
    </cfRule>
    <cfRule type="expression" dxfId="32" priority="73">
      <formula>G8&gt;=25</formula>
    </cfRule>
  </conditionalFormatting>
  <conditionalFormatting sqref="G9">
    <cfRule type="expression" dxfId="31" priority="55">
      <formula>F9&lt;(G9/1000)</formula>
    </cfRule>
    <cfRule type="expression" dxfId="30" priority="56">
      <formula>G9&gt;=1000</formula>
    </cfRule>
    <cfRule type="expression" dxfId="29" priority="72">
      <formula>G9&lt;1000</formula>
    </cfRule>
  </conditionalFormatting>
  <conditionalFormatting sqref="G26:G27 G10:G22">
    <cfRule type="expression" dxfId="28" priority="54">
      <formula>F10&gt;=(G10/1000)</formula>
    </cfRule>
    <cfRule type="expression" dxfId="27" priority="69">
      <formula>F10&lt;(G10/1000)</formula>
    </cfRule>
  </conditionalFormatting>
  <conditionalFormatting sqref="G23:G25">
    <cfRule type="expression" dxfId="26" priority="43">
      <formula>F23&lt;(G23/1000)</formula>
    </cfRule>
  </conditionalFormatting>
  <conditionalFormatting sqref="H8:H27">
    <cfRule type="expression" dxfId="25" priority="34">
      <formula>F8*2&gt;=(H8/1000)</formula>
    </cfRule>
    <cfRule type="expression" dxfId="24" priority="35">
      <formula>F8*2&lt;(H8/1000)</formula>
    </cfRule>
  </conditionalFormatting>
  <conditionalFormatting sqref="I8:I27">
    <cfRule type="expression" dxfId="23" priority="32">
      <formula>F8*5&lt;(I8/1000)</formula>
    </cfRule>
    <cfRule type="expression" dxfId="22" priority="33">
      <formula>F8*5&gt;=(I8/1000)</formula>
    </cfRule>
  </conditionalFormatting>
  <conditionalFormatting sqref="AA8 AA23:AA25">
    <cfRule type="expression" dxfId="21" priority="88">
      <formula>IF(H8&gt;=25,"※要現場確認","")</formula>
    </cfRule>
  </conditionalFormatting>
  <conditionalFormatting sqref="Z8 Z23:Z25">
    <cfRule type="expression" dxfId="20" priority="90">
      <formula>IF(H8&gt;=25,"※要現場確認","")</formula>
    </cfRule>
  </conditionalFormatting>
  <conditionalFormatting sqref="Y8 Y23:Y25">
    <cfRule type="expression" dxfId="19" priority="92">
      <formula>IF(H8&gt;=25,"※要現場確認","")</formula>
    </cfRule>
  </conditionalFormatting>
  <conditionalFormatting sqref="X8 X23:X25">
    <cfRule type="expression" dxfId="18" priority="94">
      <formula>IF(H8&gt;=25,"※要現場確認","")</formula>
    </cfRule>
  </conditionalFormatting>
  <conditionalFormatting sqref="W8 W23:W25">
    <cfRule type="expression" dxfId="17" priority="96">
      <formula>IF(H8&gt;=25,"※要現場確認","")</formula>
    </cfRule>
  </conditionalFormatting>
  <conditionalFormatting sqref="F8:F27">
    <cfRule type="expression" dxfId="16" priority="24">
      <formula>F8=0</formula>
    </cfRule>
  </conditionalFormatting>
  <conditionalFormatting sqref="F23:F25">
    <cfRule type="expression" dxfId="15" priority="23">
      <formula>F23="―"</formula>
    </cfRule>
  </conditionalFormatting>
  <conditionalFormatting sqref="J4">
    <cfRule type="expression" dxfId="14" priority="17">
      <formula>J4="※特別荷役"</formula>
    </cfRule>
  </conditionalFormatting>
  <conditionalFormatting sqref="J23:J25">
    <cfRule type="expression" dxfId="13" priority="16">
      <formula>J23="事前相談"</formula>
    </cfRule>
  </conditionalFormatting>
  <conditionalFormatting sqref="I4">
    <cfRule type="expression" dxfId="12" priority="115">
      <formula>IF(COUNT(P23:P25),9999999,"特別荷役")</formula>
    </cfRule>
    <cfRule type="expression" dxfId="11" priority="116">
      <formula>$I$4="－"</formula>
    </cfRule>
    <cfRule type="expression" dxfId="10" priority="117">
      <formula>$I$4="許容量超過"</formula>
    </cfRule>
    <cfRule type="expression" dxfId="9" priority="118">
      <formula>I4="許容量内"</formula>
    </cfRule>
  </conditionalFormatting>
  <conditionalFormatting sqref="K8">
    <cfRule type="expression" dxfId="8" priority="10">
      <formula>K8="※許容量超過"</formula>
    </cfRule>
    <cfRule type="expression" dxfId="7" priority="11">
      <formula>K8="※荷役不可"</formula>
    </cfRule>
    <cfRule type="expression" dxfId="6" priority="12">
      <formula>K8="※事前相談"</formula>
    </cfRule>
  </conditionalFormatting>
  <conditionalFormatting sqref="K9">
    <cfRule type="expression" dxfId="5" priority="8">
      <formula>K9="※事前相談"</formula>
    </cfRule>
    <cfRule type="expression" dxfId="4" priority="9">
      <formula>K9="※許容量超過"</formula>
    </cfRule>
  </conditionalFormatting>
  <conditionalFormatting sqref="K10:K22">
    <cfRule type="expression" dxfId="3" priority="7">
      <formula>K10="※許容量超過"</formula>
    </cfRule>
  </conditionalFormatting>
  <conditionalFormatting sqref="K26:K27">
    <cfRule type="expression" dxfId="2" priority="4">
      <formula>K26="※許容量超過"</formula>
    </cfRule>
  </conditionalFormatting>
  <conditionalFormatting sqref="K23:K25">
    <cfRule type="expression" dxfId="1" priority="1">
      <formula>K23="※現場確認等"</formula>
    </cfRule>
    <cfRule type="expression" dxfId="0" priority="2">
      <formula>K23="※荷役不可"</formula>
    </cfRule>
  </conditionalFormatting>
  <dataValidations count="7">
    <dataValidation type="list" allowBlank="1" showInputMessage="1" showErrorMessage="1" errorTitle="選択式です！" error="リストから該当する岸壁を選択してください。_x000a_岸壁に応じて「岸壁荷役許容量」が自動的に変わります。" promptTitle="【重要】C2岸壁選択時の注意事項" prompt="コンテナ専用船以外がC2岸壁で危険物荷役をする場合はC1岸壁における荷役許容量が基準となります。_x000a_コンテナ専用船以外は《C1》の判定表を使用してください!!" sqref="E4">
      <formula1>$B$31:$B$34</formula1>
    </dataValidation>
    <dataValidation errorStyle="information" allowBlank="1" showInputMessage="1" showErrorMessage="1" errorTitle="荷役時現場確認が必要です！" promptTitle="荷役時現場確認が必要です！" sqref="W23:AA25 W8:AA9 L8:L27"/>
    <dataValidation type="custom" allowBlank="1" showInputMessage="1" showErrorMessage="1" errorTitle="岸壁許容量がありません。" error="この岸壁においては、岸壁許容量が「０」となっており、通過危険物を含めて荷役の許可はできません。" sqref="H8:I22 H26:I27">
      <formula1>$F8&lt;&gt;0</formula1>
    </dataValidation>
    <dataValidation type="custom" allowBlank="1" showErrorMessage="1" errorTitle="岸壁許容量がありません。" error="この岸壁においては、岸壁許容量が「０」となっており、通過危険物を含めて荷役の許可はできません。" promptTitle="【注意】爆薬換算量で25キログラムを超える荷役について" prompt="爆薬換算量で25キログラムを超えて荷役を行う場合は、必要に応じて関係者等と事前協議を行い、原則として現場確認が必要です。" sqref="G10:G22 G26:G27">
      <formula1>$F10&lt;&gt;0</formula1>
    </dataValidation>
    <dataValidation type="custom" allowBlank="1" showInputMessage="1" showErrorMessage="1" errorTitle="岸壁許容量がありません。" error="この岸壁においては、岸壁許容量が「０」となっており、通過危険物を含めて荷役の許可はできません。" promptTitle="【注意】爆薬換算量で25キログラムを超える荷役について" prompt="爆薬換算量で25キログラムを超えて荷役を行う場合は、必要に応じて関係者等と事前協議を行う必要があります。" sqref="G8">
      <formula1>$F8&lt;&gt;0</formula1>
    </dataValidation>
    <dataValidation type="custom" allowBlank="1" showInputMessage="1" showErrorMessage="1" errorTitle="岸壁許容量がありません。" error="この岸壁においては、岸壁許容量が「０」となっており、通過危険物を含めて荷役の許可はできません。" promptTitle="【注意】爆薬換算量で1トンを超える荷役について" prompt="爆薬換算量で1トンを超えて荷役を行う場合は、必要に応じて関係者等と事前協議を行う必要があります。" sqref="G9">
      <formula1>$F9&lt;&gt;0</formula1>
    </dataValidation>
    <dataValidation allowBlank="1" showInputMessage="1" showErrorMessage="1" promptTitle="放射性物質等の荷役です。" prompt="放射性物質（核分裂性物質等）の荷役が行われる場合は、十分余裕をもって最寄りの海上保安部署に相談してください。" sqref="G23:I25"/>
  </dataValidations>
  <pageMargins left="0.7" right="0.7" top="0.75" bottom="0.75" header="0.3" footer="0.3"/>
  <pageSetup paperSize="8" scale="9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3"/>
  <sheetViews>
    <sheetView view="pageBreakPreview" zoomScale="70" zoomScaleNormal="100" zoomScaleSheetLayoutView="70" workbookViewId="0">
      <selection activeCell="H13" sqref="H13:H15"/>
    </sheetView>
  </sheetViews>
  <sheetFormatPr defaultRowHeight="18.75" x14ac:dyDescent="0.4"/>
  <cols>
    <col min="1" max="1" width="5.375" style="34" customWidth="1"/>
    <col min="2" max="2" width="12.75" style="34" customWidth="1"/>
    <col min="3" max="3" width="25.625" style="34" customWidth="1"/>
    <col min="4" max="7" width="9" style="34"/>
    <col min="8" max="8" width="24.875" style="39" customWidth="1"/>
    <col min="9" max="16384" width="9" style="34"/>
  </cols>
  <sheetData>
    <row r="1" spans="1:8" ht="25.5" x14ac:dyDescent="0.4">
      <c r="A1" s="32"/>
      <c r="B1" s="32"/>
      <c r="C1" s="169" t="s">
        <v>27</v>
      </c>
      <c r="D1" s="170"/>
      <c r="E1" s="170"/>
      <c r="F1" s="170"/>
      <c r="G1" s="170"/>
      <c r="H1" s="33"/>
    </row>
    <row r="2" spans="1:8" x14ac:dyDescent="0.4">
      <c r="A2" s="168" t="s">
        <v>28</v>
      </c>
      <c r="B2" s="166" t="s">
        <v>29</v>
      </c>
      <c r="C2" s="166"/>
      <c r="D2" s="166" t="s">
        <v>30</v>
      </c>
      <c r="E2" s="166"/>
      <c r="F2" s="166"/>
      <c r="G2" s="166"/>
      <c r="H2" s="167" t="s">
        <v>31</v>
      </c>
    </row>
    <row r="3" spans="1:8" x14ac:dyDescent="0.4">
      <c r="A3" s="168"/>
      <c r="B3" s="166"/>
      <c r="C3" s="166"/>
      <c r="D3" s="49" t="s">
        <v>32</v>
      </c>
      <c r="E3" s="49" t="s">
        <v>33</v>
      </c>
      <c r="F3" s="49" t="s">
        <v>34</v>
      </c>
      <c r="G3" s="49" t="s">
        <v>35</v>
      </c>
      <c r="H3" s="167"/>
    </row>
    <row r="4" spans="1:8" x14ac:dyDescent="0.4">
      <c r="A4" s="168" t="s">
        <v>36</v>
      </c>
      <c r="B4" s="167" t="s">
        <v>37</v>
      </c>
      <c r="C4" s="35" t="s">
        <v>38</v>
      </c>
      <c r="D4" s="35">
        <v>0</v>
      </c>
      <c r="E4" s="35">
        <v>5</v>
      </c>
      <c r="F4" s="35">
        <v>20</v>
      </c>
      <c r="G4" s="35">
        <v>20</v>
      </c>
      <c r="H4" s="167" t="s">
        <v>39</v>
      </c>
    </row>
    <row r="5" spans="1:8" x14ac:dyDescent="0.4">
      <c r="A5" s="168"/>
      <c r="B5" s="167"/>
      <c r="C5" s="35" t="s">
        <v>40</v>
      </c>
      <c r="D5" s="35">
        <v>0.2</v>
      </c>
      <c r="E5" s="35">
        <v>5</v>
      </c>
      <c r="F5" s="35">
        <v>20</v>
      </c>
      <c r="G5" s="35">
        <v>20</v>
      </c>
      <c r="H5" s="167"/>
    </row>
    <row r="6" spans="1:8" x14ac:dyDescent="0.4">
      <c r="A6" s="168"/>
      <c r="B6" s="35" t="s">
        <v>41</v>
      </c>
      <c r="C6" s="35" t="s">
        <v>42</v>
      </c>
      <c r="D6" s="35">
        <v>0.5</v>
      </c>
      <c r="E6" s="35">
        <v>10</v>
      </c>
      <c r="F6" s="35">
        <v>50</v>
      </c>
      <c r="G6" s="35">
        <v>200</v>
      </c>
      <c r="H6" s="48"/>
    </row>
    <row r="7" spans="1:8" x14ac:dyDescent="0.4">
      <c r="A7" s="168" t="s">
        <v>43</v>
      </c>
      <c r="B7" s="167" t="s">
        <v>44</v>
      </c>
      <c r="C7" s="35" t="s">
        <v>45</v>
      </c>
      <c r="D7" s="35">
        <v>1</v>
      </c>
      <c r="E7" s="35">
        <v>20</v>
      </c>
      <c r="F7" s="35">
        <v>100</v>
      </c>
      <c r="G7" s="35">
        <v>400</v>
      </c>
      <c r="H7" s="167"/>
    </row>
    <row r="8" spans="1:8" x14ac:dyDescent="0.4">
      <c r="A8" s="168"/>
      <c r="B8" s="167"/>
      <c r="C8" s="35" t="s">
        <v>46</v>
      </c>
      <c r="D8" s="35">
        <v>5</v>
      </c>
      <c r="E8" s="35">
        <v>100</v>
      </c>
      <c r="F8" s="35">
        <v>500</v>
      </c>
      <c r="G8" s="35">
        <v>2000</v>
      </c>
      <c r="H8" s="167"/>
    </row>
    <row r="9" spans="1:8" x14ac:dyDescent="0.4">
      <c r="A9" s="168"/>
      <c r="B9" s="167"/>
      <c r="C9" s="35" t="s">
        <v>47</v>
      </c>
      <c r="D9" s="35">
        <v>1</v>
      </c>
      <c r="E9" s="35">
        <v>20</v>
      </c>
      <c r="F9" s="35">
        <v>100</v>
      </c>
      <c r="G9" s="35">
        <v>400</v>
      </c>
      <c r="H9" s="167"/>
    </row>
    <row r="10" spans="1:8" x14ac:dyDescent="0.4">
      <c r="A10" s="168"/>
      <c r="B10" s="167" t="s">
        <v>48</v>
      </c>
      <c r="C10" s="35" t="s">
        <v>49</v>
      </c>
      <c r="D10" s="35">
        <v>2</v>
      </c>
      <c r="E10" s="35">
        <v>50</v>
      </c>
      <c r="F10" s="35">
        <v>250</v>
      </c>
      <c r="G10" s="35">
        <v>1000</v>
      </c>
      <c r="H10" s="167"/>
    </row>
    <row r="11" spans="1:8" x14ac:dyDescent="0.4">
      <c r="A11" s="168"/>
      <c r="B11" s="167"/>
      <c r="C11" s="35" t="s">
        <v>50</v>
      </c>
      <c r="D11" s="35">
        <v>5</v>
      </c>
      <c r="E11" s="35">
        <v>100</v>
      </c>
      <c r="F11" s="35">
        <v>500</v>
      </c>
      <c r="G11" s="35">
        <v>2000</v>
      </c>
      <c r="H11" s="167"/>
    </row>
    <row r="12" spans="1:8" x14ac:dyDescent="0.4">
      <c r="A12" s="168"/>
      <c r="B12" s="167"/>
      <c r="C12" s="35" t="s">
        <v>51</v>
      </c>
      <c r="D12" s="35">
        <v>10</v>
      </c>
      <c r="E12" s="35">
        <v>250</v>
      </c>
      <c r="F12" s="35">
        <v>1000</v>
      </c>
      <c r="G12" s="35">
        <v>4000</v>
      </c>
      <c r="H12" s="167"/>
    </row>
    <row r="13" spans="1:8" x14ac:dyDescent="0.4">
      <c r="A13" s="168"/>
      <c r="B13" s="167" t="s">
        <v>52</v>
      </c>
      <c r="C13" s="35" t="s">
        <v>53</v>
      </c>
      <c r="D13" s="35">
        <v>10</v>
      </c>
      <c r="E13" s="35">
        <v>250</v>
      </c>
      <c r="F13" s="35">
        <v>1000</v>
      </c>
      <c r="G13" s="35">
        <v>4000</v>
      </c>
      <c r="H13" s="167"/>
    </row>
    <row r="14" spans="1:8" x14ac:dyDescent="0.4">
      <c r="A14" s="168"/>
      <c r="B14" s="167"/>
      <c r="C14" s="35" t="s">
        <v>54</v>
      </c>
      <c r="D14" s="35">
        <v>5</v>
      </c>
      <c r="E14" s="35">
        <v>100</v>
      </c>
      <c r="F14" s="35">
        <v>500</v>
      </c>
      <c r="G14" s="35">
        <v>2000</v>
      </c>
      <c r="H14" s="167"/>
    </row>
    <row r="15" spans="1:8" x14ac:dyDescent="0.4">
      <c r="A15" s="168"/>
      <c r="B15" s="167"/>
      <c r="C15" s="35" t="s">
        <v>55</v>
      </c>
      <c r="D15" s="35">
        <v>5</v>
      </c>
      <c r="E15" s="35">
        <v>100</v>
      </c>
      <c r="F15" s="35">
        <v>500</v>
      </c>
      <c r="G15" s="35">
        <v>2000</v>
      </c>
      <c r="H15" s="167"/>
    </row>
    <row r="16" spans="1:8" x14ac:dyDescent="0.4">
      <c r="A16" s="168"/>
      <c r="B16" s="167" t="s">
        <v>56</v>
      </c>
      <c r="C16" s="35" t="s">
        <v>41</v>
      </c>
      <c r="D16" s="35">
        <v>5</v>
      </c>
      <c r="E16" s="35">
        <v>100</v>
      </c>
      <c r="F16" s="35">
        <v>500</v>
      </c>
      <c r="G16" s="35">
        <v>2000</v>
      </c>
      <c r="H16" s="167"/>
    </row>
    <row r="17" spans="1:8" x14ac:dyDescent="0.4">
      <c r="A17" s="168"/>
      <c r="B17" s="167"/>
      <c r="C17" s="35" t="s">
        <v>57</v>
      </c>
      <c r="D17" s="35">
        <v>1</v>
      </c>
      <c r="E17" s="35">
        <v>20</v>
      </c>
      <c r="F17" s="35">
        <v>100</v>
      </c>
      <c r="G17" s="35">
        <v>400</v>
      </c>
      <c r="H17" s="167"/>
    </row>
    <row r="18" spans="1:8" x14ac:dyDescent="0.4">
      <c r="A18" s="168"/>
      <c r="B18" s="35" t="s">
        <v>58</v>
      </c>
      <c r="C18" s="35" t="s">
        <v>3</v>
      </c>
      <c r="D18" s="35">
        <v>10</v>
      </c>
      <c r="E18" s="35">
        <v>250</v>
      </c>
      <c r="F18" s="35">
        <v>1000</v>
      </c>
      <c r="G18" s="35">
        <v>4000</v>
      </c>
      <c r="H18" s="48"/>
    </row>
    <row r="19" spans="1:8" x14ac:dyDescent="0.4">
      <c r="A19" s="168"/>
      <c r="B19" s="167" t="s">
        <v>59</v>
      </c>
      <c r="C19" s="35" t="s">
        <v>60</v>
      </c>
      <c r="D19" s="35">
        <v>0</v>
      </c>
      <c r="E19" s="36">
        <v>0</v>
      </c>
      <c r="F19" s="49" t="s">
        <v>7</v>
      </c>
      <c r="G19" s="49" t="s">
        <v>61</v>
      </c>
      <c r="H19" s="167" t="s">
        <v>62</v>
      </c>
    </row>
    <row r="20" spans="1:8" x14ac:dyDescent="0.4">
      <c r="A20" s="168"/>
      <c r="B20" s="167"/>
      <c r="C20" s="35" t="s">
        <v>63</v>
      </c>
      <c r="D20" s="35">
        <v>0</v>
      </c>
      <c r="E20" s="49" t="s">
        <v>7</v>
      </c>
      <c r="F20" s="49" t="s">
        <v>61</v>
      </c>
      <c r="G20" s="49" t="s">
        <v>64</v>
      </c>
      <c r="H20" s="167"/>
    </row>
    <row r="21" spans="1:8" x14ac:dyDescent="0.4">
      <c r="A21" s="168"/>
      <c r="B21" s="167"/>
      <c r="C21" s="35" t="s">
        <v>65</v>
      </c>
      <c r="D21" s="35">
        <v>0</v>
      </c>
      <c r="E21" s="49" t="s">
        <v>7</v>
      </c>
      <c r="F21" s="49" t="s">
        <v>7</v>
      </c>
      <c r="G21" s="49" t="s">
        <v>64</v>
      </c>
      <c r="H21" s="167"/>
    </row>
    <row r="22" spans="1:8" x14ac:dyDescent="0.4">
      <c r="A22" s="168"/>
      <c r="B22" s="35" t="s">
        <v>66</v>
      </c>
      <c r="C22" s="35"/>
      <c r="D22" s="35">
        <v>10</v>
      </c>
      <c r="E22" s="36">
        <v>250</v>
      </c>
      <c r="F22" s="36">
        <v>1000</v>
      </c>
      <c r="G22" s="36">
        <v>4000</v>
      </c>
      <c r="H22" s="48"/>
    </row>
    <row r="23" spans="1:8" x14ac:dyDescent="0.4">
      <c r="A23" s="168"/>
      <c r="B23" s="35" t="s">
        <v>67</v>
      </c>
      <c r="C23" s="35"/>
      <c r="D23" s="35">
        <v>10</v>
      </c>
      <c r="E23" s="36">
        <v>250</v>
      </c>
      <c r="F23" s="36">
        <v>1000</v>
      </c>
      <c r="G23" s="36">
        <v>4000</v>
      </c>
      <c r="H23" s="48"/>
    </row>
    <row r="24" spans="1:8" x14ac:dyDescent="0.4">
      <c r="A24" s="168"/>
      <c r="B24" s="35" t="s">
        <v>68</v>
      </c>
      <c r="C24" s="35"/>
      <c r="D24" s="49" t="s">
        <v>7</v>
      </c>
      <c r="E24" s="49" t="s">
        <v>7</v>
      </c>
      <c r="F24" s="49" t="s">
        <v>7</v>
      </c>
      <c r="G24" s="49" t="s">
        <v>64</v>
      </c>
      <c r="H24" s="48" t="s">
        <v>69</v>
      </c>
    </row>
    <row r="25" spans="1:8" x14ac:dyDescent="0.4">
      <c r="A25" s="32"/>
      <c r="B25" s="32"/>
      <c r="C25" s="32"/>
      <c r="D25" s="32"/>
      <c r="E25" s="32"/>
      <c r="F25" s="32"/>
      <c r="G25" s="32"/>
      <c r="H25" s="37"/>
    </row>
    <row r="26" spans="1:8" x14ac:dyDescent="0.4">
      <c r="A26" s="38" t="s">
        <v>70</v>
      </c>
      <c r="B26" s="32" t="s">
        <v>71</v>
      </c>
      <c r="C26" s="32"/>
      <c r="D26" s="32"/>
      <c r="E26" s="32"/>
      <c r="F26" s="32"/>
      <c r="G26" s="32"/>
      <c r="H26" s="37"/>
    </row>
    <row r="27" spans="1:8" x14ac:dyDescent="0.4">
      <c r="A27" s="32"/>
      <c r="B27" s="32" t="s">
        <v>72</v>
      </c>
      <c r="C27" s="32"/>
      <c r="D27" s="32"/>
      <c r="E27" s="32"/>
      <c r="F27" s="32"/>
      <c r="G27" s="32"/>
      <c r="H27" s="37"/>
    </row>
    <row r="28" spans="1:8" x14ac:dyDescent="0.4">
      <c r="A28" s="32"/>
      <c r="B28" s="32" t="s">
        <v>73</v>
      </c>
      <c r="C28" s="32"/>
      <c r="D28" s="32"/>
      <c r="E28" s="32"/>
      <c r="F28" s="32"/>
      <c r="G28" s="32"/>
      <c r="H28" s="37"/>
    </row>
    <row r="29" spans="1:8" x14ac:dyDescent="0.4">
      <c r="A29" s="32"/>
      <c r="B29" s="32" t="s">
        <v>74</v>
      </c>
      <c r="C29" s="32"/>
      <c r="D29" s="32"/>
      <c r="E29" s="32"/>
      <c r="F29" s="32"/>
      <c r="G29" s="32"/>
      <c r="H29" s="37"/>
    </row>
    <row r="30" spans="1:8" x14ac:dyDescent="0.4">
      <c r="A30" s="32"/>
      <c r="B30" s="166" t="s">
        <v>37</v>
      </c>
      <c r="C30" s="166"/>
      <c r="D30" s="166" t="s">
        <v>75</v>
      </c>
      <c r="E30" s="166"/>
      <c r="F30" s="166"/>
      <c r="G30" s="166"/>
      <c r="H30" s="37"/>
    </row>
    <row r="31" spans="1:8" x14ac:dyDescent="0.4">
      <c r="A31" s="32"/>
      <c r="B31" s="166" t="s">
        <v>76</v>
      </c>
      <c r="C31" s="166"/>
      <c r="D31" s="166" t="s">
        <v>77</v>
      </c>
      <c r="E31" s="166"/>
      <c r="F31" s="166"/>
      <c r="G31" s="166"/>
      <c r="H31" s="37"/>
    </row>
    <row r="32" spans="1:8" x14ac:dyDescent="0.4">
      <c r="A32" s="32"/>
      <c r="B32" s="168" t="s">
        <v>78</v>
      </c>
      <c r="C32" s="49" t="s">
        <v>79</v>
      </c>
      <c r="D32" s="166" t="s">
        <v>80</v>
      </c>
      <c r="E32" s="166"/>
      <c r="F32" s="166"/>
      <c r="G32" s="166"/>
      <c r="H32" s="37"/>
    </row>
    <row r="33" spans="1:8" x14ac:dyDescent="0.4">
      <c r="A33" s="32"/>
      <c r="B33" s="168"/>
      <c r="C33" s="49" t="s">
        <v>81</v>
      </c>
      <c r="D33" s="166" t="s">
        <v>82</v>
      </c>
      <c r="E33" s="166"/>
      <c r="F33" s="166"/>
      <c r="G33" s="166"/>
      <c r="H33" s="37"/>
    </row>
    <row r="34" spans="1:8" x14ac:dyDescent="0.4">
      <c r="A34" s="32"/>
      <c r="B34" s="168"/>
      <c r="C34" s="49" t="s">
        <v>83</v>
      </c>
      <c r="D34" s="166" t="s">
        <v>84</v>
      </c>
      <c r="E34" s="166"/>
      <c r="F34" s="166"/>
      <c r="G34" s="166"/>
      <c r="H34" s="37"/>
    </row>
    <row r="35" spans="1:8" x14ac:dyDescent="0.4">
      <c r="A35" s="32"/>
      <c r="B35" s="168"/>
      <c r="C35" s="49" t="s">
        <v>85</v>
      </c>
      <c r="D35" s="166" t="s">
        <v>86</v>
      </c>
      <c r="E35" s="166"/>
      <c r="F35" s="166"/>
      <c r="G35" s="166"/>
      <c r="H35" s="37"/>
    </row>
    <row r="36" spans="1:8" x14ac:dyDescent="0.4">
      <c r="A36" s="32"/>
      <c r="B36" s="168"/>
      <c r="C36" s="49" t="s">
        <v>87</v>
      </c>
      <c r="D36" s="166" t="s">
        <v>88</v>
      </c>
      <c r="E36" s="166"/>
      <c r="F36" s="166"/>
      <c r="G36" s="166"/>
      <c r="H36" s="37"/>
    </row>
    <row r="37" spans="1:8" x14ac:dyDescent="0.4">
      <c r="A37" s="32"/>
      <c r="B37" s="168"/>
      <c r="C37" s="49" t="s">
        <v>89</v>
      </c>
      <c r="D37" s="166" t="s">
        <v>90</v>
      </c>
      <c r="E37" s="166"/>
      <c r="F37" s="166"/>
      <c r="G37" s="166"/>
      <c r="H37" s="37"/>
    </row>
    <row r="38" spans="1:8" x14ac:dyDescent="0.4">
      <c r="A38" s="32"/>
      <c r="B38" s="168"/>
      <c r="C38" s="49" t="s">
        <v>91</v>
      </c>
      <c r="D38" s="166" t="s">
        <v>92</v>
      </c>
      <c r="E38" s="166"/>
      <c r="F38" s="166"/>
      <c r="G38" s="166"/>
      <c r="H38" s="37"/>
    </row>
    <row r="39" spans="1:8" x14ac:dyDescent="0.4">
      <c r="A39" s="32"/>
      <c r="B39" s="168"/>
      <c r="C39" s="49" t="s">
        <v>93</v>
      </c>
      <c r="D39" s="166" t="s">
        <v>88</v>
      </c>
      <c r="E39" s="166"/>
      <c r="F39" s="166"/>
      <c r="G39" s="166"/>
      <c r="H39" s="37"/>
    </row>
    <row r="40" spans="1:8" x14ac:dyDescent="0.4">
      <c r="A40" s="32"/>
      <c r="B40" s="168"/>
      <c r="C40" s="49" t="s">
        <v>94</v>
      </c>
      <c r="D40" s="166" t="s">
        <v>95</v>
      </c>
      <c r="E40" s="166"/>
      <c r="F40" s="166"/>
      <c r="G40" s="166"/>
      <c r="H40" s="37"/>
    </row>
    <row r="41" spans="1:8" x14ac:dyDescent="0.4">
      <c r="A41" s="32"/>
      <c r="B41" s="168"/>
      <c r="C41" s="49" t="s">
        <v>68</v>
      </c>
      <c r="D41" s="166" t="s">
        <v>96</v>
      </c>
      <c r="E41" s="166"/>
      <c r="F41" s="166"/>
      <c r="G41" s="166"/>
      <c r="H41" s="37"/>
    </row>
    <row r="42" spans="1:8" x14ac:dyDescent="0.4">
      <c r="A42" s="32"/>
      <c r="B42" s="32" t="s">
        <v>97</v>
      </c>
      <c r="C42" s="32"/>
      <c r="D42" s="32"/>
      <c r="E42" s="32"/>
      <c r="F42" s="32"/>
      <c r="G42" s="32"/>
      <c r="H42" s="37"/>
    </row>
    <row r="43" spans="1:8" x14ac:dyDescent="0.4">
      <c r="A43" s="32"/>
      <c r="B43" s="32" t="s">
        <v>98</v>
      </c>
      <c r="C43" s="32"/>
      <c r="D43" s="32"/>
      <c r="E43" s="32"/>
      <c r="F43" s="32"/>
      <c r="G43" s="32"/>
      <c r="H43" s="37"/>
    </row>
  </sheetData>
  <sheetProtection password="CA83" sheet="1" objects="1" scenarios="1" selectLockedCells="1"/>
  <mergeCells count="34">
    <mergeCell ref="A4:A6"/>
    <mergeCell ref="B4:B5"/>
    <mergeCell ref="H4:H5"/>
    <mergeCell ref="C1:G1"/>
    <mergeCell ref="A2:A3"/>
    <mergeCell ref="B2:C3"/>
    <mergeCell ref="D2:G2"/>
    <mergeCell ref="H2:H3"/>
    <mergeCell ref="A7:A24"/>
    <mergeCell ref="B7:B9"/>
    <mergeCell ref="H7:H9"/>
    <mergeCell ref="B10:B12"/>
    <mergeCell ref="H10:H12"/>
    <mergeCell ref="B13:B15"/>
    <mergeCell ref="H13:H15"/>
    <mergeCell ref="B16:B17"/>
    <mergeCell ref="H16:H17"/>
    <mergeCell ref="B19:B21"/>
    <mergeCell ref="D41:G41"/>
    <mergeCell ref="H19:H21"/>
    <mergeCell ref="B30:C30"/>
    <mergeCell ref="D30:G30"/>
    <mergeCell ref="B31:C31"/>
    <mergeCell ref="D31:G31"/>
    <mergeCell ref="B32:B41"/>
    <mergeCell ref="D32:G32"/>
    <mergeCell ref="D33:G33"/>
    <mergeCell ref="D34:G34"/>
    <mergeCell ref="D35:G35"/>
    <mergeCell ref="D36:G36"/>
    <mergeCell ref="D37:G37"/>
    <mergeCell ref="D38:G38"/>
    <mergeCell ref="D39:G39"/>
    <mergeCell ref="D40:G40"/>
  </mergeCells>
  <phoneticPr fontId="2"/>
  <pageMargins left="0.7" right="0.7" top="0.75" bottom="0.75" header="0.3" footer="0.3"/>
  <pageSetup paperSize="9" scale="70" orientation="portrait"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11</vt:i4>
      </vt:variant>
    </vt:vector>
  </HeadingPairs>
  <TitlesOfParts>
    <vt:vector size="15" baseType="lpstr">
      <vt:lpstr>取扱説明</vt:lpstr>
      <vt:lpstr>①荷役判定表（トン入力）</vt:lpstr>
      <vt:lpstr>②荷役判定表（KG入力）</vt:lpstr>
      <vt:lpstr>岸壁荷役許容量（表）</vt:lpstr>
      <vt:lpstr>'①荷役判定表（トン入力）'!A岸壁</vt:lpstr>
      <vt:lpstr>A岸壁</vt:lpstr>
      <vt:lpstr>'①荷役判定表（トン入力）'!B岸壁</vt:lpstr>
      <vt:lpstr>B岸壁</vt:lpstr>
      <vt:lpstr>'①荷役判定表（トン入力）'!Print_Area</vt:lpstr>
      <vt:lpstr>'②荷役判定表（KG入力）'!Print_Area</vt:lpstr>
      <vt:lpstr>取扱説明!Print_Area</vt:lpstr>
      <vt:lpstr>'①荷役判定表（トン入力）'!コンテナ専用岸壁</vt:lpstr>
      <vt:lpstr>コンテナ専用岸壁</vt:lpstr>
      <vt:lpstr>'①荷役判定表（トン入力）'!一般岸壁C</vt:lpstr>
      <vt:lpstr>一般岸壁C</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2023-08-19T01:31:16Z</cp:lastPrinted>
  <dcterms:created xsi:type="dcterms:W3CDTF">2023-07-12T02:55:25Z</dcterms:created>
  <dcterms:modified xsi:type="dcterms:W3CDTF">2023-09-25T01:14:56Z</dcterms:modified>
</cp:coreProperties>
</file>